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Диск D\программа 2020\заявка\запрос\"/>
    </mc:Choice>
  </mc:AlternateContent>
  <xr:revisionPtr revIDLastSave="0" documentId="13_ncr:8001_{8B2715D5-CCBB-4C67-AEE1-92140E4BA958}" xr6:coauthVersionLast="43" xr6:coauthVersionMax="43" xr10:uidLastSave="{00000000-0000-0000-0000-000000000000}"/>
  <bookViews>
    <workbookView xWindow="-120" yWindow="-120" windowWidth="29040" windowHeight="15840" xr2:uid="{04F92D82-D3A7-4691-A699-2A91D78A7BD8}"/>
  </bookViews>
  <sheets>
    <sheet name="2020 год" sheetId="1" r:id="rId1"/>
    <sheet name="2021" sheetId="3" r:id="rId2"/>
    <sheet name="2022" sheetId="4" r:id="rId3"/>
    <sheet name="2023" sheetId="5" r:id="rId4"/>
    <sheet name="2024" sheetId="6" r:id="rId5"/>
    <sheet name="Лист2" sheetId="2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33" i="6" l="1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13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 l="1"/>
  <c r="C7" i="6" s="1"/>
  <c r="F7" i="6"/>
  <c r="D6" i="6" s="1"/>
  <c r="F5" i="6"/>
  <c r="E5" i="6"/>
  <c r="D25" i="5"/>
  <c r="D33" i="5"/>
  <c r="D32" i="5"/>
  <c r="D31" i="5"/>
  <c r="D30" i="5"/>
  <c r="D29" i="5"/>
  <c r="D28" i="5"/>
  <c r="D27" i="5"/>
  <c r="D26" i="5"/>
  <c r="D24" i="5"/>
  <c r="D23" i="5"/>
  <c r="D22" i="5"/>
  <c r="D21" i="5"/>
  <c r="D20" i="5"/>
  <c r="D19" i="5"/>
  <c r="D18" i="5"/>
  <c r="D17" i="5"/>
  <c r="D16" i="5"/>
  <c r="G16" i="5" s="1"/>
  <c r="D15" i="5"/>
  <c r="D14" i="5"/>
  <c r="D13" i="5"/>
  <c r="F5" i="5"/>
  <c r="F7" i="5"/>
  <c r="F6" i="5" s="1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E17" i="5" s="1"/>
  <c r="C16" i="5"/>
  <c r="C15" i="5"/>
  <c r="E15" i="5" s="1"/>
  <c r="C14" i="5"/>
  <c r="G14" i="5" s="1"/>
  <c r="C13" i="5"/>
  <c r="D26" i="4"/>
  <c r="D34" i="4"/>
  <c r="D33" i="4"/>
  <c r="D32" i="4"/>
  <c r="D31" i="4"/>
  <c r="D30" i="4"/>
  <c r="D29" i="4"/>
  <c r="D28" i="4"/>
  <c r="D27" i="4"/>
  <c r="D25" i="4"/>
  <c r="D24" i="4"/>
  <c r="D23" i="4"/>
  <c r="D22" i="4"/>
  <c r="D21" i="4"/>
  <c r="D20" i="4"/>
  <c r="D19" i="4"/>
  <c r="D17" i="4"/>
  <c r="E17" i="4" s="1"/>
  <c r="D16" i="4"/>
  <c r="D15" i="4"/>
  <c r="D14" i="4"/>
  <c r="D13" i="4"/>
  <c r="E13" i="4" s="1"/>
  <c r="F5" i="4"/>
  <c r="F7" i="4"/>
  <c r="G6" i="3"/>
  <c r="E5" i="4"/>
  <c r="C7" i="4"/>
  <c r="F6" i="4"/>
  <c r="D18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E15" i="4" s="1"/>
  <c r="C14" i="4"/>
  <c r="C13" i="4"/>
  <c r="E12" i="3"/>
  <c r="D36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19" i="3"/>
  <c r="D17" i="3"/>
  <c r="D16" i="3"/>
  <c r="D15" i="3"/>
  <c r="D14" i="3"/>
  <c r="D13" i="3"/>
  <c r="F7" i="3"/>
  <c r="F6" i="3" s="1"/>
  <c r="C7" i="3"/>
  <c r="D35" i="3"/>
  <c r="D18" i="3"/>
  <c r="D20" i="3"/>
  <c r="C36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19" i="3"/>
  <c r="C18" i="3"/>
  <c r="C17" i="3"/>
  <c r="C16" i="3"/>
  <c r="C15" i="3"/>
  <c r="C14" i="3"/>
  <c r="C13" i="3"/>
  <c r="D22" i="1"/>
  <c r="D37" i="1"/>
  <c r="D30" i="1"/>
  <c r="E27" i="1"/>
  <c r="D20" i="1"/>
  <c r="E6" i="3"/>
  <c r="G26" i="6" l="1"/>
  <c r="G30" i="6"/>
  <c r="G15" i="6"/>
  <c r="G19" i="6"/>
  <c r="H19" i="6" s="1"/>
  <c r="G23" i="6"/>
  <c r="G27" i="6"/>
  <c r="H27" i="6" s="1"/>
  <c r="G31" i="6"/>
  <c r="G18" i="6"/>
  <c r="H18" i="6" s="1"/>
  <c r="F6" i="6"/>
  <c r="G16" i="6"/>
  <c r="G20" i="6"/>
  <c r="H20" i="6" s="1"/>
  <c r="G24" i="6"/>
  <c r="G28" i="6"/>
  <c r="H28" i="6" s="1"/>
  <c r="G32" i="6"/>
  <c r="G22" i="6"/>
  <c r="H22" i="6" s="1"/>
  <c r="G13" i="6"/>
  <c r="H13" i="6" s="1"/>
  <c r="G17" i="6"/>
  <c r="H17" i="6" s="1"/>
  <c r="G21" i="6"/>
  <c r="G25" i="6"/>
  <c r="H25" i="6" s="1"/>
  <c r="G29" i="6"/>
  <c r="G33" i="6"/>
  <c r="H33" i="6" s="1"/>
  <c r="E13" i="5"/>
  <c r="C12" i="5"/>
  <c r="C7" i="5" s="1"/>
  <c r="E26" i="5"/>
  <c r="G26" i="5"/>
  <c r="E30" i="5"/>
  <c r="G30" i="5"/>
  <c r="G19" i="5"/>
  <c r="H19" i="5" s="1"/>
  <c r="E19" i="5"/>
  <c r="G23" i="5"/>
  <c r="E23" i="5"/>
  <c r="G27" i="5"/>
  <c r="H27" i="5" s="1"/>
  <c r="E27" i="5"/>
  <c r="G31" i="5"/>
  <c r="E31" i="5"/>
  <c r="E20" i="5"/>
  <c r="G20" i="5"/>
  <c r="E24" i="5"/>
  <c r="G24" i="5"/>
  <c r="H24" i="5" s="1"/>
  <c r="E28" i="5"/>
  <c r="G28" i="5"/>
  <c r="E32" i="5"/>
  <c r="G32" i="5"/>
  <c r="H32" i="5" s="1"/>
  <c r="E22" i="5"/>
  <c r="G22" i="5"/>
  <c r="G21" i="5"/>
  <c r="H21" i="5" s="1"/>
  <c r="E21" i="5"/>
  <c r="G25" i="5"/>
  <c r="E25" i="5"/>
  <c r="G29" i="5"/>
  <c r="H29" i="5" s="1"/>
  <c r="E29" i="5"/>
  <c r="G33" i="5"/>
  <c r="E33" i="5"/>
  <c r="H14" i="5"/>
  <c r="F14" i="5" s="1"/>
  <c r="H16" i="5"/>
  <c r="F16" i="5" s="1"/>
  <c r="G13" i="5"/>
  <c r="E14" i="5"/>
  <c r="G15" i="5"/>
  <c r="H15" i="5" s="1"/>
  <c r="E16" i="5"/>
  <c r="G17" i="5"/>
  <c r="H17" i="5" s="1"/>
  <c r="G16" i="4"/>
  <c r="H16" i="4" s="1"/>
  <c r="F16" i="4" s="1"/>
  <c r="G14" i="4"/>
  <c r="C12" i="4"/>
  <c r="E21" i="4"/>
  <c r="G21" i="4"/>
  <c r="H21" i="4" s="1"/>
  <c r="E22" i="4"/>
  <c r="G22" i="4"/>
  <c r="E26" i="4"/>
  <c r="G26" i="4"/>
  <c r="H26" i="4" s="1"/>
  <c r="G30" i="4"/>
  <c r="E30" i="4"/>
  <c r="G29" i="4"/>
  <c r="H29" i="4" s="1"/>
  <c r="E29" i="4"/>
  <c r="G27" i="4"/>
  <c r="H27" i="4" s="1"/>
  <c r="E27" i="4"/>
  <c r="E25" i="4"/>
  <c r="G25" i="4"/>
  <c r="H25" i="4" s="1"/>
  <c r="E33" i="4"/>
  <c r="G33" i="4"/>
  <c r="E23" i="4"/>
  <c r="G23" i="4"/>
  <c r="H23" i="4" s="1"/>
  <c r="E31" i="4"/>
  <c r="G31" i="4"/>
  <c r="H31" i="4" s="1"/>
  <c r="G20" i="4"/>
  <c r="E20" i="4"/>
  <c r="G24" i="4"/>
  <c r="H24" i="4" s="1"/>
  <c r="E24" i="4"/>
  <c r="G28" i="4"/>
  <c r="H28" i="4" s="1"/>
  <c r="E28" i="4"/>
  <c r="G32" i="4"/>
  <c r="H32" i="4" s="1"/>
  <c r="E32" i="4"/>
  <c r="G34" i="4"/>
  <c r="E34" i="4"/>
  <c r="G13" i="4"/>
  <c r="E14" i="4"/>
  <c r="G15" i="4"/>
  <c r="H15" i="4" s="1"/>
  <c r="E16" i="4"/>
  <c r="G17" i="4"/>
  <c r="H17" i="4" s="1"/>
  <c r="G18" i="4"/>
  <c r="H14" i="4"/>
  <c r="F14" i="4" s="1"/>
  <c r="G34" i="3"/>
  <c r="E32" i="3"/>
  <c r="E31" i="3"/>
  <c r="E29" i="3"/>
  <c r="E28" i="3"/>
  <c r="E25" i="3"/>
  <c r="E24" i="3"/>
  <c r="E21" i="3"/>
  <c r="G27" i="3"/>
  <c r="H27" i="3" s="1"/>
  <c r="F27" i="3" s="1"/>
  <c r="E34" i="3"/>
  <c r="H34" i="3"/>
  <c r="F34" i="3" s="1"/>
  <c r="G30" i="3"/>
  <c r="H30" i="3" s="1"/>
  <c r="F30" i="3" s="1"/>
  <c r="E30" i="3"/>
  <c r="E27" i="3"/>
  <c r="E23" i="3"/>
  <c r="G23" i="3"/>
  <c r="H23" i="3" s="1"/>
  <c r="F23" i="3" s="1"/>
  <c r="D6" i="3"/>
  <c r="E5" i="3"/>
  <c r="G20" i="3"/>
  <c r="G24" i="3"/>
  <c r="E26" i="3"/>
  <c r="G28" i="3"/>
  <c r="G31" i="3"/>
  <c r="E33" i="3"/>
  <c r="G35" i="3"/>
  <c r="E36" i="3"/>
  <c r="G21" i="3"/>
  <c r="G25" i="3"/>
  <c r="G29" i="3"/>
  <c r="H29" i="3" s="1"/>
  <c r="G32" i="3"/>
  <c r="H32" i="3" s="1"/>
  <c r="G18" i="3"/>
  <c r="G26" i="3"/>
  <c r="H26" i="3" s="1"/>
  <c r="G33" i="3"/>
  <c r="G36" i="3"/>
  <c r="H36" i="3" s="1"/>
  <c r="D13" i="1"/>
  <c r="E13" i="1" s="1"/>
  <c r="E13" i="3" s="1"/>
  <c r="D14" i="1"/>
  <c r="G14" i="1" s="1"/>
  <c r="D15" i="1"/>
  <c r="E15" i="1" s="1"/>
  <c r="G15" i="3" s="1"/>
  <c r="H15" i="3" s="1"/>
  <c r="D16" i="1"/>
  <c r="G16" i="1" s="1"/>
  <c r="H16" i="1" s="1"/>
  <c r="D17" i="1"/>
  <c r="E17" i="1" s="1"/>
  <c r="E17" i="3" s="1"/>
  <c r="D18" i="1"/>
  <c r="E18" i="1" s="1"/>
  <c r="D19" i="1"/>
  <c r="E19" i="1" s="1"/>
  <c r="E19" i="3" s="1"/>
  <c r="G20" i="1"/>
  <c r="H20" i="1" s="1"/>
  <c r="D21" i="1"/>
  <c r="E21" i="1" s="1"/>
  <c r="G22" i="1"/>
  <c r="D23" i="1"/>
  <c r="G23" i="1" s="1"/>
  <c r="H23" i="1" s="1"/>
  <c r="D24" i="1"/>
  <c r="E24" i="1" s="1"/>
  <c r="D25" i="1"/>
  <c r="E25" i="1" s="1"/>
  <c r="D26" i="1"/>
  <c r="G26" i="1" s="1"/>
  <c r="H26" i="1" s="1"/>
  <c r="F26" i="1" s="1"/>
  <c r="D28" i="1"/>
  <c r="E28" i="1" s="1"/>
  <c r="D29" i="1"/>
  <c r="E29" i="1" s="1"/>
  <c r="G30" i="1"/>
  <c r="H30" i="1" s="1"/>
  <c r="F30" i="1" s="1"/>
  <c r="D31" i="1"/>
  <c r="G31" i="1" s="1"/>
  <c r="H31" i="1" s="1"/>
  <c r="D32" i="1"/>
  <c r="E32" i="1" s="1"/>
  <c r="D33" i="1"/>
  <c r="E33" i="1" s="1"/>
  <c r="D34" i="1"/>
  <c r="G34" i="1" s="1"/>
  <c r="H34" i="1" s="1"/>
  <c r="F34" i="1" s="1"/>
  <c r="D35" i="1"/>
  <c r="G35" i="1" s="1"/>
  <c r="H35" i="1" s="1"/>
  <c r="D36" i="1"/>
  <c r="G36" i="1" s="1"/>
  <c r="H36" i="1" s="1"/>
  <c r="D38" i="1"/>
  <c r="G38" i="1" s="1"/>
  <c r="H38" i="1" s="1"/>
  <c r="F38" i="1" s="1"/>
  <c r="E14" i="1"/>
  <c r="G14" i="3" s="1"/>
  <c r="E38" i="1"/>
  <c r="D39" i="1"/>
  <c r="G39" i="1" s="1"/>
  <c r="H39" i="1" s="1"/>
  <c r="E7" i="1"/>
  <c r="E6" i="1"/>
  <c r="C12" i="1"/>
  <c r="G14" i="6" l="1"/>
  <c r="F25" i="6"/>
  <c r="H21" i="6"/>
  <c r="F21" i="6" s="1"/>
  <c r="D12" i="6"/>
  <c r="F22" i="6"/>
  <c r="H32" i="6"/>
  <c r="F32" i="6" s="1"/>
  <c r="F20" i="6"/>
  <c r="H16" i="6"/>
  <c r="F16" i="6" s="1"/>
  <c r="H31" i="6"/>
  <c r="F31" i="6" s="1"/>
  <c r="F19" i="6"/>
  <c r="H15" i="6"/>
  <c r="F15" i="6" s="1"/>
  <c r="F29" i="6"/>
  <c r="F13" i="6"/>
  <c r="H26" i="6"/>
  <c r="F26" i="6" s="1"/>
  <c r="F18" i="6"/>
  <c r="F33" i="6"/>
  <c r="H29" i="6"/>
  <c r="F17" i="6"/>
  <c r="E12" i="6"/>
  <c r="F28" i="6"/>
  <c r="H24" i="6"/>
  <c r="F24" i="6" s="1"/>
  <c r="F27" i="6"/>
  <c r="H23" i="6"/>
  <c r="F23" i="6" s="1"/>
  <c r="H30" i="6"/>
  <c r="F30" i="6" s="1"/>
  <c r="H33" i="5"/>
  <c r="F33" i="5" s="1"/>
  <c r="F21" i="5"/>
  <c r="F32" i="5"/>
  <c r="H28" i="5"/>
  <c r="F28" i="5" s="1"/>
  <c r="F27" i="5"/>
  <c r="H23" i="5"/>
  <c r="F23" i="5" s="1"/>
  <c r="H13" i="5"/>
  <c r="F13" i="5" s="1"/>
  <c r="H26" i="5"/>
  <c r="F26" i="5" s="1"/>
  <c r="F17" i="5"/>
  <c r="F15" i="5"/>
  <c r="D6" i="5"/>
  <c r="E5" i="5"/>
  <c r="E18" i="5"/>
  <c r="E12" i="5" s="1"/>
  <c r="G18" i="5"/>
  <c r="H18" i="5" s="1"/>
  <c r="D12" i="5"/>
  <c r="F29" i="5"/>
  <c r="H25" i="5"/>
  <c r="F25" i="5" s="1"/>
  <c r="H22" i="5"/>
  <c r="F22" i="5" s="1"/>
  <c r="F24" i="5"/>
  <c r="H20" i="5"/>
  <c r="F20" i="5" s="1"/>
  <c r="H31" i="5"/>
  <c r="F31" i="5" s="1"/>
  <c r="F19" i="5"/>
  <c r="H30" i="5"/>
  <c r="F30" i="5" s="1"/>
  <c r="D6" i="4"/>
  <c r="F32" i="4"/>
  <c r="F25" i="4"/>
  <c r="H30" i="4"/>
  <c r="F30" i="4" s="1"/>
  <c r="F28" i="4"/>
  <c r="H13" i="4"/>
  <c r="F13" i="4" s="1"/>
  <c r="F15" i="4"/>
  <c r="F29" i="4"/>
  <c r="F26" i="4"/>
  <c r="F21" i="4"/>
  <c r="F17" i="4"/>
  <c r="H18" i="4"/>
  <c r="F18" i="4" s="1"/>
  <c r="E19" i="4"/>
  <c r="E12" i="4" s="1"/>
  <c r="G19" i="4"/>
  <c r="D12" i="4"/>
  <c r="H34" i="4"/>
  <c r="F34" i="4" s="1"/>
  <c r="F24" i="4"/>
  <c r="H20" i="4"/>
  <c r="F20" i="4" s="1"/>
  <c r="F31" i="4"/>
  <c r="F23" i="4"/>
  <c r="H33" i="4"/>
  <c r="F33" i="4" s="1"/>
  <c r="F27" i="4"/>
  <c r="H22" i="4"/>
  <c r="F22" i="4" s="1"/>
  <c r="G19" i="3"/>
  <c r="H19" i="3" s="1"/>
  <c r="F19" i="3" s="1"/>
  <c r="G13" i="3"/>
  <c r="H13" i="3" s="1"/>
  <c r="H14" i="3"/>
  <c r="F14" i="3" s="1"/>
  <c r="E15" i="3"/>
  <c r="G17" i="3"/>
  <c r="H17" i="3" s="1"/>
  <c r="F17" i="3" s="1"/>
  <c r="E14" i="3"/>
  <c r="F15" i="3"/>
  <c r="H33" i="3"/>
  <c r="F33" i="3" s="1"/>
  <c r="H18" i="3"/>
  <c r="F18" i="3" s="1"/>
  <c r="H21" i="3"/>
  <c r="F21" i="3" s="1"/>
  <c r="H31" i="3"/>
  <c r="F31" i="3" s="1"/>
  <c r="H24" i="3"/>
  <c r="F24" i="3" s="1"/>
  <c r="F26" i="3"/>
  <c r="F32" i="3"/>
  <c r="H25" i="3"/>
  <c r="F25" i="3" s="1"/>
  <c r="F36" i="3"/>
  <c r="F29" i="3"/>
  <c r="H35" i="3"/>
  <c r="F35" i="3" s="1"/>
  <c r="H28" i="3"/>
  <c r="F28" i="3" s="1"/>
  <c r="H20" i="3"/>
  <c r="F20" i="3" s="1"/>
  <c r="E36" i="1"/>
  <c r="E31" i="1"/>
  <c r="G19" i="1"/>
  <c r="H19" i="1" s="1"/>
  <c r="G18" i="1"/>
  <c r="H18" i="1" s="1"/>
  <c r="F18" i="1" s="1"/>
  <c r="F7" i="1"/>
  <c r="D6" i="1" s="1"/>
  <c r="E26" i="1"/>
  <c r="G15" i="1"/>
  <c r="H15" i="1" s="1"/>
  <c r="E34" i="1"/>
  <c r="E22" i="1"/>
  <c r="G13" i="1"/>
  <c r="H13" i="1" s="1"/>
  <c r="F13" i="1" s="1"/>
  <c r="H22" i="1"/>
  <c r="F22" i="1" s="1"/>
  <c r="G32" i="1"/>
  <c r="H32" i="1" s="1"/>
  <c r="G28" i="1"/>
  <c r="H28" i="1" s="1"/>
  <c r="G24" i="1"/>
  <c r="H24" i="1" s="1"/>
  <c r="E23" i="1"/>
  <c r="G21" i="1"/>
  <c r="H21" i="1" s="1"/>
  <c r="F21" i="1" s="1"/>
  <c r="G17" i="1"/>
  <c r="H17" i="1" s="1"/>
  <c r="E35" i="1"/>
  <c r="G27" i="1"/>
  <c r="H27" i="1" s="1"/>
  <c r="E16" i="1"/>
  <c r="G37" i="1"/>
  <c r="H37" i="1" s="1"/>
  <c r="F37" i="1" s="1"/>
  <c r="G33" i="1"/>
  <c r="H33" i="1" s="1"/>
  <c r="F33" i="1" s="1"/>
  <c r="G29" i="1"/>
  <c r="H29" i="1" s="1"/>
  <c r="F29" i="1" s="1"/>
  <c r="G25" i="1"/>
  <c r="H25" i="1" s="1"/>
  <c r="F25" i="1" s="1"/>
  <c r="H14" i="1"/>
  <c r="F14" i="1" s="1"/>
  <c r="F36" i="1"/>
  <c r="F20" i="1"/>
  <c r="F16" i="1"/>
  <c r="F39" i="1"/>
  <c r="F35" i="1"/>
  <c r="F31" i="1"/>
  <c r="F23" i="1"/>
  <c r="F19" i="1"/>
  <c r="H14" i="6" l="1"/>
  <c r="H12" i="6" s="1"/>
  <c r="G12" i="6"/>
  <c r="G12" i="5"/>
  <c r="H12" i="5"/>
  <c r="F18" i="5"/>
  <c r="F12" i="5" s="1"/>
  <c r="H19" i="4"/>
  <c r="F19" i="4" s="1"/>
  <c r="F12" i="4" s="1"/>
  <c r="H12" i="4"/>
  <c r="G12" i="4"/>
  <c r="G22" i="3"/>
  <c r="E22" i="3"/>
  <c r="E12" i="1"/>
  <c r="G7" i="1"/>
  <c r="G6" i="1" s="1"/>
  <c r="F13" i="3"/>
  <c r="F27" i="1"/>
  <c r="F15" i="1"/>
  <c r="F6" i="1"/>
  <c r="F24" i="1"/>
  <c r="E5" i="1"/>
  <c r="F28" i="1"/>
  <c r="F17" i="1"/>
  <c r="G12" i="1"/>
  <c r="F32" i="1"/>
  <c r="H12" i="1"/>
  <c r="D12" i="1"/>
  <c r="F14" i="6" l="1"/>
  <c r="F12" i="6" s="1"/>
  <c r="H22" i="3"/>
  <c r="F22" i="3" s="1"/>
  <c r="C12" i="3"/>
  <c r="F12" i="1"/>
  <c r="E16" i="3" l="1"/>
  <c r="G16" i="3"/>
  <c r="G12" i="3" s="1"/>
  <c r="D12" i="3"/>
  <c r="H16" i="3" l="1"/>
  <c r="F16" i="3" l="1"/>
  <c r="F12" i="3" s="1"/>
  <c r="H12" i="3"/>
</calcChain>
</file>

<file path=xl/sharedStrings.xml><?xml version="1.0" encoding="utf-8"?>
<sst xmlns="http://schemas.openxmlformats.org/spreadsheetml/2006/main" count="185" uniqueCount="43">
  <si>
    <t>№ п/п</t>
  </si>
  <si>
    <t>Наименование муниципального образования</t>
  </si>
  <si>
    <t>Всего:</t>
  </si>
  <si>
    <t>г.Анжеро-Судженск</t>
  </si>
  <si>
    <t>г.Белово</t>
  </si>
  <si>
    <t>г.Калтан</t>
  </si>
  <si>
    <t>г.Кемерово</t>
  </si>
  <si>
    <t>г.Киселевск</t>
  </si>
  <si>
    <t xml:space="preserve">Краснобродский </t>
  </si>
  <si>
    <t>г.Ленинск-Кузнецкий</t>
  </si>
  <si>
    <t>г.Междуреченск</t>
  </si>
  <si>
    <t>г.Мыски</t>
  </si>
  <si>
    <t>г.Новокузнецк</t>
  </si>
  <si>
    <t>г.Осинники</t>
  </si>
  <si>
    <t>г.Полысаево</t>
  </si>
  <si>
    <t>г.Прокопьевск</t>
  </si>
  <si>
    <t>г.Тайга</t>
  </si>
  <si>
    <t>г.Юрга</t>
  </si>
  <si>
    <t>Гурьевский район</t>
  </si>
  <si>
    <t>Кемеровский район</t>
  </si>
  <si>
    <t>Ленинск-Кузнецкий район</t>
  </si>
  <si>
    <t>Мариинский район</t>
  </si>
  <si>
    <t>Новокузнецкий район</t>
  </si>
  <si>
    <t>Промышленновский район</t>
  </si>
  <si>
    <t>Таштагольский район</t>
  </si>
  <si>
    <t>Топкинский район</t>
  </si>
  <si>
    <t>Тяжинский район</t>
  </si>
  <si>
    <t>Юргинский район</t>
  </si>
  <si>
    <t>Яйский район</t>
  </si>
  <si>
    <t>Яшкинский район</t>
  </si>
  <si>
    <t>Всего площадь аварийных МКД  до 01.01.17</t>
  </si>
  <si>
    <t>Минимальная площадь жилых помещений подлежащих расселению по этапу 2020 года</t>
  </si>
  <si>
    <t>кв.м.</t>
  </si>
  <si>
    <t>рублей</t>
  </si>
  <si>
    <t>Всего</t>
  </si>
  <si>
    <t>в том числе:</t>
  </si>
  <si>
    <t xml:space="preserve">средства Фонда </t>
  </si>
  <si>
    <t>средства областного бюджета</t>
  </si>
  <si>
    <t>Информация о лимитах предоставления финансовой поддержки и минимальной площади жилых помещений подлежащих расселению по этапу 2020 года</t>
  </si>
  <si>
    <t>Информация о лимитах предоставления финансовой поддержки и минимальной площади жилых помещений подлежащих расселению по этапу 2021 года</t>
  </si>
  <si>
    <t>Информация о лимитах предоставления финансовой поддержки и минимальной площади жилых помещений подлежащих расселению по этапу 2022 года</t>
  </si>
  <si>
    <t>Информация о лимитах предоставления финансовой поддержки и минимальной площади жилых помещений подлежащих расселению по этапу 2023 года</t>
  </si>
  <si>
    <t>Информация о лимитах предоставления финансовой поддержки и минимальной площади жилых помещений подлежащих расселению по этапу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</si>
</sst>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164" fontId="0" fillId="2" borderId="0" xfId="0" applyNumberFormat="1" applyFill="1"/>
    <xf numFmtId="0" fontId="0" fillId="2" borderId="2" xfId="0" applyFill="1" applyBorder="1"/>
    <xf numFmtId="0" fontId="2" fillId="2" borderId="2" xfId="0" applyFont="1" applyFill="1" applyBorder="1" applyAlignment="1">
      <alignment vertical="top" wrapText="1"/>
    </xf>
    <xf numFmtId="4" fontId="2" fillId="2" borderId="2" xfId="0" applyNumberFormat="1" applyFont="1" applyFill="1" applyBorder="1" applyAlignment="1">
      <alignment horizontal="left" vertical="top" wrapText="1"/>
    </xf>
    <xf numFmtId="4" fontId="2" fillId="2" borderId="2" xfId="0" applyNumberFormat="1" applyFont="1" applyFill="1" applyBorder="1" applyAlignment="1">
      <alignment horizontal="center" vertical="top" wrapText="1"/>
    </xf>
    <xf numFmtId="4" fontId="0" fillId="2" borderId="2" xfId="0" applyNumberForma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vertical="top" wrapText="1"/>
    </xf>
    <xf numFmtId="4" fontId="1" fillId="2" borderId="2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wrapText="1"/>
    </xf>
    <xf numFmtId="4" fontId="0" fillId="2" borderId="0" xfId="0" applyNumberFormat="1" applyFill="1"/>
    <xf numFmtId="0" fontId="5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35EF1-1329-4973-B25C-DA65D8A78F4B}">
  <sheetPr>
    <pageSetUpPr fitToPage="1"/>
  </sheetPr>
  <dimension ref="A2:H39"/>
  <sheetViews>
    <sheetView tabSelected="1" workbookViewId="0">
      <selection activeCell="T10" sqref="T10"/>
    </sheetView>
  </sheetViews>
  <sheetFormatPr defaultRowHeight="15" x14ac:dyDescent="0.25"/>
  <cols>
    <col min="1" max="1" width="3.28515625" style="1" bestFit="1" customWidth="1"/>
    <col min="2" max="2" width="23.28515625" style="1" bestFit="1" customWidth="1"/>
    <col min="3" max="3" width="19.7109375" style="1" hidden="1" customWidth="1"/>
    <col min="4" max="4" width="24.5703125" style="1" hidden="1" customWidth="1"/>
    <col min="5" max="5" width="19.140625" style="1" customWidth="1"/>
    <col min="6" max="6" width="19.42578125" style="1" customWidth="1"/>
    <col min="7" max="7" width="20.42578125" style="1" customWidth="1"/>
    <col min="8" max="8" width="19.7109375" style="1" customWidth="1"/>
    <col min="9" max="16384" width="9.140625" style="1"/>
  </cols>
  <sheetData>
    <row r="2" spans="1:8" ht="43.5" customHeight="1" x14ac:dyDescent="0.3">
      <c r="A2" s="13" t="s">
        <v>38</v>
      </c>
      <c r="B2" s="13"/>
      <c r="C2" s="13"/>
      <c r="D2" s="13"/>
      <c r="E2" s="13"/>
      <c r="F2" s="13"/>
      <c r="G2" s="13"/>
      <c r="H2" s="13"/>
    </row>
    <row r="4" spans="1:8" hidden="1" x14ac:dyDescent="0.25"/>
    <row r="5" spans="1:8" hidden="1" x14ac:dyDescent="0.25">
      <c r="E5" s="1">
        <f>F7/36368</f>
        <v>49868.001124890019</v>
      </c>
      <c r="F5" s="1">
        <v>50000</v>
      </c>
    </row>
    <row r="6" spans="1:8" hidden="1" x14ac:dyDescent="0.25">
      <c r="D6" s="1">
        <f>E7/F7*100</f>
        <v>16.474243943098362</v>
      </c>
      <c r="E6" s="2">
        <f>1514822664.91</f>
        <v>1514822664.9100001</v>
      </c>
      <c r="F6" s="1">
        <f>F7/C12</f>
        <v>3687.6409881782779</v>
      </c>
      <c r="G6" s="1">
        <f>G7/(C12-748.8-501.1)</f>
        <v>3641.5234652440936</v>
      </c>
    </row>
    <row r="7" spans="1:8" hidden="1" x14ac:dyDescent="0.25">
      <c r="E7" s="2">
        <f>298776800</f>
        <v>298776800</v>
      </c>
      <c r="F7" s="2">
        <f>E6+E7</f>
        <v>1813599464.9100001</v>
      </c>
      <c r="G7" s="2">
        <f>F7-D39</f>
        <v>1786367106.51</v>
      </c>
    </row>
    <row r="8" spans="1:8" ht="23.25" customHeight="1" x14ac:dyDescent="0.25">
      <c r="A8" s="14" t="s">
        <v>0</v>
      </c>
      <c r="B8" s="17" t="s">
        <v>1</v>
      </c>
      <c r="C8" s="17" t="s">
        <v>30</v>
      </c>
      <c r="D8" s="3"/>
      <c r="E8" s="18" t="s">
        <v>31</v>
      </c>
      <c r="F8" s="18" t="s">
        <v>34</v>
      </c>
      <c r="G8" s="21" t="s">
        <v>35</v>
      </c>
      <c r="H8" s="22"/>
    </row>
    <row r="9" spans="1:8" x14ac:dyDescent="0.25">
      <c r="A9" s="15"/>
      <c r="B9" s="17"/>
      <c r="C9" s="17"/>
      <c r="D9" s="3"/>
      <c r="E9" s="19"/>
      <c r="F9" s="19"/>
      <c r="G9" s="18" t="s">
        <v>36</v>
      </c>
      <c r="H9" s="18" t="s">
        <v>37</v>
      </c>
    </row>
    <row r="10" spans="1:8" ht="45" customHeight="1" x14ac:dyDescent="0.25">
      <c r="A10" s="15"/>
      <c r="B10" s="17"/>
      <c r="C10" s="17"/>
      <c r="D10" s="3"/>
      <c r="E10" s="19"/>
      <c r="F10" s="20"/>
      <c r="G10" s="20"/>
      <c r="H10" s="20"/>
    </row>
    <row r="11" spans="1:8" x14ac:dyDescent="0.25">
      <c r="A11" s="16"/>
      <c r="B11" s="17"/>
      <c r="C11" s="17"/>
      <c r="D11" s="3"/>
      <c r="E11" s="11" t="s">
        <v>32</v>
      </c>
      <c r="F11" s="11" t="s">
        <v>33</v>
      </c>
      <c r="G11" s="11" t="s">
        <v>33</v>
      </c>
      <c r="H11" s="11" t="s">
        <v>33</v>
      </c>
    </row>
    <row r="12" spans="1:8" x14ac:dyDescent="0.25">
      <c r="A12" s="4"/>
      <c r="B12" s="5" t="s">
        <v>2</v>
      </c>
      <c r="C12" s="6">
        <f>SUM(C13:C39)</f>
        <v>491804.77999999985</v>
      </c>
      <c r="D12" s="7">
        <f>SUM(D13:D39)</f>
        <v>1813599464.5900004</v>
      </c>
      <c r="E12" s="7">
        <f t="shared" ref="E12:H12" si="0">SUM(E13:E39)</f>
        <v>49955.967911570253</v>
      </c>
      <c r="F12" s="7">
        <f t="shared" si="0"/>
        <v>1813599464.5900004</v>
      </c>
      <c r="G12" s="7">
        <f t="shared" si="0"/>
        <v>1515224123.3700004</v>
      </c>
      <c r="H12" s="7">
        <f t="shared" si="0"/>
        <v>298375341.22000003</v>
      </c>
    </row>
    <row r="13" spans="1:8" ht="15.75" x14ac:dyDescent="0.25">
      <c r="A13" s="8">
        <v>1</v>
      </c>
      <c r="B13" s="9" t="s">
        <v>3</v>
      </c>
      <c r="C13" s="10">
        <v>44963.35</v>
      </c>
      <c r="D13" s="7">
        <f>ROUND((C13*3637.807458),2)</f>
        <v>163568009.97</v>
      </c>
      <c r="E13" s="7">
        <f>D13/36300</f>
        <v>4506.0057842975202</v>
      </c>
      <c r="F13" s="7">
        <f>G13+H13</f>
        <v>163568009.97</v>
      </c>
      <c r="G13" s="7">
        <f>ROUND((D13*0.84),2)</f>
        <v>137397128.37</v>
      </c>
      <c r="H13" s="7">
        <f>D13-G13</f>
        <v>26170881.599999994</v>
      </c>
    </row>
    <row r="14" spans="1:8" ht="15.75" x14ac:dyDescent="0.25">
      <c r="A14" s="8">
        <v>2</v>
      </c>
      <c r="B14" s="9" t="s">
        <v>4</v>
      </c>
      <c r="C14" s="10">
        <v>3448.6</v>
      </c>
      <c r="D14" s="7">
        <f t="shared" ref="D14:D38" si="1">ROUND((C14*3637.807458),2)</f>
        <v>12545342.800000001</v>
      </c>
      <c r="E14" s="7">
        <f t="shared" ref="E14:E38" si="2">D14/36300</f>
        <v>345.60173002754823</v>
      </c>
      <c r="F14" s="7">
        <f t="shared" ref="F14:F39" si="3">G14+H14</f>
        <v>12545342.800000001</v>
      </c>
      <c r="G14" s="7">
        <f t="shared" ref="G14:G39" si="4">ROUND((D14*0.84),2)</f>
        <v>10538087.949999999</v>
      </c>
      <c r="H14" s="7">
        <f t="shared" ref="H14:H39" si="5">D14-G14</f>
        <v>2007254.8500000015</v>
      </c>
    </row>
    <row r="15" spans="1:8" ht="15.75" x14ac:dyDescent="0.25">
      <c r="A15" s="8">
        <v>3</v>
      </c>
      <c r="B15" s="9" t="s">
        <v>5</v>
      </c>
      <c r="C15" s="10">
        <v>13516.61</v>
      </c>
      <c r="D15" s="7">
        <f t="shared" si="1"/>
        <v>49170824.659999996</v>
      </c>
      <c r="E15" s="7">
        <f t="shared" si="2"/>
        <v>1354.5681724517906</v>
      </c>
      <c r="F15" s="7">
        <f t="shared" si="3"/>
        <v>49170824.659999996</v>
      </c>
      <c r="G15" s="7">
        <f t="shared" si="4"/>
        <v>41303492.710000001</v>
      </c>
      <c r="H15" s="7">
        <f t="shared" si="5"/>
        <v>7867331.9499999955</v>
      </c>
    </row>
    <row r="16" spans="1:8" ht="15.75" x14ac:dyDescent="0.25">
      <c r="A16" s="8">
        <v>4</v>
      </c>
      <c r="B16" s="9" t="s">
        <v>6</v>
      </c>
      <c r="C16" s="10">
        <v>37934.9</v>
      </c>
      <c r="D16" s="7">
        <f t="shared" si="1"/>
        <v>137999862.13999999</v>
      </c>
      <c r="E16" s="7">
        <f t="shared" si="2"/>
        <v>3801.6490947658399</v>
      </c>
      <c r="F16" s="7">
        <f t="shared" si="3"/>
        <v>137999862.13999999</v>
      </c>
      <c r="G16" s="7">
        <f t="shared" si="4"/>
        <v>115919884.2</v>
      </c>
      <c r="H16" s="7">
        <f t="shared" si="5"/>
        <v>22079977.939999983</v>
      </c>
    </row>
    <row r="17" spans="1:8" ht="15.75" x14ac:dyDescent="0.25">
      <c r="A17" s="8">
        <v>5</v>
      </c>
      <c r="B17" s="9" t="s">
        <v>7</v>
      </c>
      <c r="C17" s="10">
        <v>31886.65</v>
      </c>
      <c r="D17" s="7">
        <f t="shared" si="1"/>
        <v>115997493.18000001</v>
      </c>
      <c r="E17" s="7">
        <f t="shared" si="2"/>
        <v>3195.5232280991736</v>
      </c>
      <c r="F17" s="7">
        <f t="shared" si="3"/>
        <v>115997493.18000001</v>
      </c>
      <c r="G17" s="7">
        <f t="shared" si="4"/>
        <v>97437894.269999996</v>
      </c>
      <c r="H17" s="7">
        <f t="shared" si="5"/>
        <v>18559598.910000011</v>
      </c>
    </row>
    <row r="18" spans="1:8" ht="15.75" x14ac:dyDescent="0.25">
      <c r="A18" s="8">
        <v>6</v>
      </c>
      <c r="B18" s="9" t="s">
        <v>8</v>
      </c>
      <c r="C18" s="10">
        <v>1683.8</v>
      </c>
      <c r="D18" s="7">
        <f t="shared" si="1"/>
        <v>6125340.2000000002</v>
      </c>
      <c r="E18" s="7">
        <f t="shared" si="2"/>
        <v>168.74215426997245</v>
      </c>
      <c r="F18" s="7">
        <f t="shared" si="3"/>
        <v>6125340.2000000002</v>
      </c>
      <c r="G18" s="7">
        <f t="shared" si="4"/>
        <v>5145285.7699999996</v>
      </c>
      <c r="H18" s="7">
        <f t="shared" si="5"/>
        <v>980054.43000000063</v>
      </c>
    </row>
    <row r="19" spans="1:8" ht="15.75" x14ac:dyDescent="0.25">
      <c r="A19" s="8">
        <v>7</v>
      </c>
      <c r="B19" s="9" t="s">
        <v>9</v>
      </c>
      <c r="C19" s="10">
        <v>68460.7</v>
      </c>
      <c r="D19" s="7">
        <f t="shared" si="1"/>
        <v>249046845.03999999</v>
      </c>
      <c r="E19" s="7">
        <f t="shared" si="2"/>
        <v>6860.794629201102</v>
      </c>
      <c r="F19" s="7">
        <f t="shared" si="3"/>
        <v>249046845.03999999</v>
      </c>
      <c r="G19" s="7">
        <f t="shared" si="4"/>
        <v>209199349.83000001</v>
      </c>
      <c r="H19" s="7">
        <f t="shared" si="5"/>
        <v>39847495.209999979</v>
      </c>
    </row>
    <row r="20" spans="1:8" ht="15.75" x14ac:dyDescent="0.25">
      <c r="A20" s="8">
        <v>8</v>
      </c>
      <c r="B20" s="9" t="s">
        <v>10</v>
      </c>
      <c r="C20" s="10">
        <v>1666.77</v>
      </c>
      <c r="D20" s="7">
        <f>ROUND((501.1*36368),2)</f>
        <v>18224004.800000001</v>
      </c>
      <c r="E20" s="7">
        <v>501.1</v>
      </c>
      <c r="F20" s="7">
        <f t="shared" si="3"/>
        <v>18224004.800000001</v>
      </c>
      <c r="G20" s="7">
        <f t="shared" si="4"/>
        <v>15308164.029999999</v>
      </c>
      <c r="H20" s="7">
        <f t="shared" si="5"/>
        <v>2915840.7700000014</v>
      </c>
    </row>
    <row r="21" spans="1:8" ht="15.75" x14ac:dyDescent="0.25">
      <c r="A21" s="8">
        <v>9</v>
      </c>
      <c r="B21" s="9" t="s">
        <v>11</v>
      </c>
      <c r="C21" s="10">
        <v>4590.6000000000004</v>
      </c>
      <c r="D21" s="7">
        <f t="shared" si="1"/>
        <v>16699718.92</v>
      </c>
      <c r="E21" s="7">
        <f t="shared" si="2"/>
        <v>460.04735316804408</v>
      </c>
      <c r="F21" s="7">
        <f t="shared" si="3"/>
        <v>16699718.92</v>
      </c>
      <c r="G21" s="7">
        <f t="shared" si="4"/>
        <v>14027763.890000001</v>
      </c>
      <c r="H21" s="7">
        <f t="shared" si="5"/>
        <v>2671955.0299999993</v>
      </c>
    </row>
    <row r="22" spans="1:8" ht="15.75" x14ac:dyDescent="0.25">
      <c r="A22" s="8">
        <v>10</v>
      </c>
      <c r="B22" s="9" t="s">
        <v>12</v>
      </c>
      <c r="C22" s="10">
        <v>87542.01</v>
      </c>
      <c r="D22" s="7">
        <f>ROUND((C22*3637.807458),2)-20300000</f>
        <v>298160976.87</v>
      </c>
      <c r="E22" s="7">
        <f t="shared" si="2"/>
        <v>8213.8010157024801</v>
      </c>
      <c r="F22" s="7">
        <f t="shared" si="3"/>
        <v>298160976.87</v>
      </c>
      <c r="G22" s="7">
        <f>ROUND((D22*0.8125),2)</f>
        <v>242255793.71000001</v>
      </c>
      <c r="H22" s="7">
        <f t="shared" si="5"/>
        <v>55905183.159999996</v>
      </c>
    </row>
    <row r="23" spans="1:8" ht="15.75" x14ac:dyDescent="0.25">
      <c r="A23" s="8">
        <v>11</v>
      </c>
      <c r="B23" s="9" t="s">
        <v>13</v>
      </c>
      <c r="C23" s="10">
        <v>14317.3</v>
      </c>
      <c r="D23" s="7">
        <f t="shared" si="1"/>
        <v>52083580.719999999</v>
      </c>
      <c r="E23" s="7">
        <f t="shared" si="2"/>
        <v>1434.8093862258952</v>
      </c>
      <c r="F23" s="7">
        <f t="shared" si="3"/>
        <v>52083580.719999999</v>
      </c>
      <c r="G23" s="7">
        <f t="shared" si="4"/>
        <v>43750207.799999997</v>
      </c>
      <c r="H23" s="7">
        <f t="shared" si="5"/>
        <v>8333372.9200000018</v>
      </c>
    </row>
    <row r="24" spans="1:8" ht="15.75" x14ac:dyDescent="0.25">
      <c r="A24" s="8">
        <v>12</v>
      </c>
      <c r="B24" s="9" t="s">
        <v>14</v>
      </c>
      <c r="C24" s="10">
        <v>8260.2000000000007</v>
      </c>
      <c r="D24" s="7">
        <f t="shared" si="1"/>
        <v>30049017.16</v>
      </c>
      <c r="E24" s="7">
        <f t="shared" si="2"/>
        <v>827.79661597796144</v>
      </c>
      <c r="F24" s="7">
        <f t="shared" si="3"/>
        <v>30049017.16</v>
      </c>
      <c r="G24" s="7">
        <f t="shared" si="4"/>
        <v>25241174.41</v>
      </c>
      <c r="H24" s="7">
        <f t="shared" si="5"/>
        <v>4807842.75</v>
      </c>
    </row>
    <row r="25" spans="1:8" ht="15.75" x14ac:dyDescent="0.25">
      <c r="A25" s="8">
        <v>13</v>
      </c>
      <c r="B25" s="9" t="s">
        <v>15</v>
      </c>
      <c r="C25" s="10">
        <v>25086.13</v>
      </c>
      <c r="D25" s="7">
        <f t="shared" si="1"/>
        <v>91258510.810000002</v>
      </c>
      <c r="E25" s="7">
        <f t="shared" si="2"/>
        <v>2514.0085622589531</v>
      </c>
      <c r="F25" s="7">
        <f t="shared" si="3"/>
        <v>91258510.810000002</v>
      </c>
      <c r="G25" s="7">
        <f t="shared" si="4"/>
        <v>76657149.079999998</v>
      </c>
      <c r="H25" s="7">
        <f t="shared" si="5"/>
        <v>14601361.730000004</v>
      </c>
    </row>
    <row r="26" spans="1:8" ht="15.75" x14ac:dyDescent="0.25">
      <c r="A26" s="8">
        <v>14</v>
      </c>
      <c r="B26" s="9" t="s">
        <v>16</v>
      </c>
      <c r="C26" s="10">
        <v>3800.1</v>
      </c>
      <c r="D26" s="7">
        <f t="shared" si="1"/>
        <v>13824032.119999999</v>
      </c>
      <c r="E26" s="7">
        <f t="shared" si="2"/>
        <v>380.82733112947653</v>
      </c>
      <c r="F26" s="7">
        <f t="shared" si="3"/>
        <v>13824032.119999999</v>
      </c>
      <c r="G26" s="7">
        <f t="shared" si="4"/>
        <v>11612186.98</v>
      </c>
      <c r="H26" s="7">
        <f t="shared" si="5"/>
        <v>2211845.1399999987</v>
      </c>
    </row>
    <row r="27" spans="1:8" ht="15.75" x14ac:dyDescent="0.25">
      <c r="A27" s="8">
        <v>15</v>
      </c>
      <c r="B27" s="9" t="s">
        <v>17</v>
      </c>
      <c r="C27" s="10">
        <v>97717.8</v>
      </c>
      <c r="D27" s="7">
        <v>310681717</v>
      </c>
      <c r="E27" s="7">
        <f>D27/36300</f>
        <v>8558.7249862258959</v>
      </c>
      <c r="F27" s="7">
        <f t="shared" si="3"/>
        <v>310681717</v>
      </c>
      <c r="G27" s="7">
        <f t="shared" si="4"/>
        <v>260972642.28</v>
      </c>
      <c r="H27" s="7">
        <f t="shared" si="5"/>
        <v>49709074.719999999</v>
      </c>
    </row>
    <row r="28" spans="1:8" ht="15.75" x14ac:dyDescent="0.25">
      <c r="A28" s="8">
        <v>16</v>
      </c>
      <c r="B28" s="9" t="s">
        <v>18</v>
      </c>
      <c r="C28" s="10">
        <v>4796.3500000000004</v>
      </c>
      <c r="D28" s="7">
        <f t="shared" si="1"/>
        <v>17448197.800000001</v>
      </c>
      <c r="E28" s="7">
        <f t="shared" si="2"/>
        <v>480.66660606060606</v>
      </c>
      <c r="F28" s="7">
        <f t="shared" si="3"/>
        <v>17448197.800000001</v>
      </c>
      <c r="G28" s="7">
        <f t="shared" si="4"/>
        <v>14656486.15</v>
      </c>
      <c r="H28" s="7">
        <f t="shared" si="5"/>
        <v>2791711.6500000004</v>
      </c>
    </row>
    <row r="29" spans="1:8" ht="15.75" x14ac:dyDescent="0.25">
      <c r="A29" s="8">
        <v>17</v>
      </c>
      <c r="B29" s="9" t="s">
        <v>19</v>
      </c>
      <c r="C29" s="10">
        <v>2246.67</v>
      </c>
      <c r="D29" s="7">
        <f t="shared" si="1"/>
        <v>8172952.8799999999</v>
      </c>
      <c r="E29" s="7">
        <f t="shared" si="2"/>
        <v>225.15021707988981</v>
      </c>
      <c r="F29" s="7">
        <f t="shared" si="3"/>
        <v>8172952.8799999999</v>
      </c>
      <c r="G29" s="7">
        <f t="shared" si="4"/>
        <v>6865280.4199999999</v>
      </c>
      <c r="H29" s="7">
        <f t="shared" si="5"/>
        <v>1307672.46</v>
      </c>
    </row>
    <row r="30" spans="1:8" ht="15.75" x14ac:dyDescent="0.25">
      <c r="A30" s="8">
        <v>18</v>
      </c>
      <c r="B30" s="9" t="s">
        <v>20</v>
      </c>
      <c r="C30" s="10">
        <v>866.8</v>
      </c>
      <c r="D30" s="7">
        <f>E30*36360</f>
        <v>15482088</v>
      </c>
      <c r="E30" s="7">
        <v>425.8</v>
      </c>
      <c r="F30" s="7">
        <f t="shared" si="3"/>
        <v>15482088</v>
      </c>
      <c r="G30" s="7">
        <f t="shared" si="4"/>
        <v>13004953.92</v>
      </c>
      <c r="H30" s="7">
        <f t="shared" si="5"/>
        <v>2477134.08</v>
      </c>
    </row>
    <row r="31" spans="1:8" ht="15.75" x14ac:dyDescent="0.25">
      <c r="A31" s="8">
        <v>19</v>
      </c>
      <c r="B31" s="9" t="s">
        <v>21</v>
      </c>
      <c r="C31" s="10">
        <v>4396.2</v>
      </c>
      <c r="D31" s="7">
        <f t="shared" si="1"/>
        <v>15992529.15</v>
      </c>
      <c r="E31" s="7">
        <f t="shared" si="2"/>
        <v>440.56554132231406</v>
      </c>
      <c r="F31" s="7">
        <f t="shared" si="3"/>
        <v>15992529.15</v>
      </c>
      <c r="G31" s="7">
        <f t="shared" si="4"/>
        <v>13433724.49</v>
      </c>
      <c r="H31" s="7">
        <f t="shared" si="5"/>
        <v>2558804.66</v>
      </c>
    </row>
    <row r="32" spans="1:8" ht="15.75" x14ac:dyDescent="0.25">
      <c r="A32" s="8">
        <v>20</v>
      </c>
      <c r="B32" s="9" t="s">
        <v>22</v>
      </c>
      <c r="C32" s="10">
        <v>2015.5</v>
      </c>
      <c r="D32" s="7">
        <f t="shared" si="1"/>
        <v>7332000.9299999997</v>
      </c>
      <c r="E32" s="7">
        <f t="shared" si="2"/>
        <v>201.98349669421486</v>
      </c>
      <c r="F32" s="7">
        <f t="shared" si="3"/>
        <v>7332000.9299999997</v>
      </c>
      <c r="G32" s="7">
        <f t="shared" si="4"/>
        <v>6158880.7800000003</v>
      </c>
      <c r="H32" s="7">
        <f t="shared" si="5"/>
        <v>1173120.1499999994</v>
      </c>
    </row>
    <row r="33" spans="1:8" ht="15.75" x14ac:dyDescent="0.25">
      <c r="A33" s="8">
        <v>21</v>
      </c>
      <c r="B33" s="9" t="s">
        <v>23</v>
      </c>
      <c r="C33" s="10">
        <v>2717.16</v>
      </c>
      <c r="D33" s="7">
        <f t="shared" si="1"/>
        <v>9884504.9100000001</v>
      </c>
      <c r="E33" s="7">
        <f t="shared" si="2"/>
        <v>272.30041074380165</v>
      </c>
      <c r="F33" s="7">
        <f t="shared" si="3"/>
        <v>9884504.9100000001</v>
      </c>
      <c r="G33" s="7">
        <f t="shared" si="4"/>
        <v>8302984.1200000001</v>
      </c>
      <c r="H33" s="7">
        <f t="shared" si="5"/>
        <v>1581520.79</v>
      </c>
    </row>
    <row r="34" spans="1:8" ht="15.75" x14ac:dyDescent="0.25">
      <c r="A34" s="8">
        <v>22</v>
      </c>
      <c r="B34" s="9" t="s">
        <v>24</v>
      </c>
      <c r="C34" s="10">
        <v>15257.4</v>
      </c>
      <c r="D34" s="7">
        <f t="shared" si="1"/>
        <v>55503483.509999998</v>
      </c>
      <c r="E34" s="7">
        <f t="shared" si="2"/>
        <v>1529.0215842975206</v>
      </c>
      <c r="F34" s="7">
        <f t="shared" si="3"/>
        <v>55503483.509999998</v>
      </c>
      <c r="G34" s="7">
        <f t="shared" si="4"/>
        <v>46622926.149999999</v>
      </c>
      <c r="H34" s="7">
        <f t="shared" si="5"/>
        <v>8880557.3599999994</v>
      </c>
    </row>
    <row r="35" spans="1:8" ht="15.75" x14ac:dyDescent="0.25">
      <c r="A35" s="8">
        <v>23</v>
      </c>
      <c r="B35" s="9" t="s">
        <v>25</v>
      </c>
      <c r="C35" s="10">
        <v>8229.99</v>
      </c>
      <c r="D35" s="7">
        <f t="shared" si="1"/>
        <v>29939119</v>
      </c>
      <c r="E35" s="7">
        <f t="shared" si="2"/>
        <v>824.76911845730024</v>
      </c>
      <c r="F35" s="7">
        <f t="shared" si="3"/>
        <v>29939119</v>
      </c>
      <c r="G35" s="7">
        <f t="shared" si="4"/>
        <v>25148859.960000001</v>
      </c>
      <c r="H35" s="7">
        <f t="shared" si="5"/>
        <v>4790259.0399999991</v>
      </c>
    </row>
    <row r="36" spans="1:8" ht="15.75" x14ac:dyDescent="0.25">
      <c r="A36" s="8">
        <v>24</v>
      </c>
      <c r="B36" s="9" t="s">
        <v>26</v>
      </c>
      <c r="C36" s="10">
        <v>965.6</v>
      </c>
      <c r="D36" s="7">
        <f t="shared" si="1"/>
        <v>3512666.88</v>
      </c>
      <c r="E36" s="7">
        <f t="shared" si="2"/>
        <v>96.767682644628096</v>
      </c>
      <c r="F36" s="7">
        <f t="shared" si="3"/>
        <v>3512666.88</v>
      </c>
      <c r="G36" s="7">
        <f t="shared" si="4"/>
        <v>2950640.18</v>
      </c>
      <c r="H36" s="7">
        <f t="shared" si="5"/>
        <v>562026.69999999972</v>
      </c>
    </row>
    <row r="37" spans="1:8" ht="15.75" x14ac:dyDescent="0.25">
      <c r="A37" s="8">
        <v>25</v>
      </c>
      <c r="B37" s="9" t="s">
        <v>27</v>
      </c>
      <c r="C37" s="10">
        <v>1670.35</v>
      </c>
      <c r="D37" s="7">
        <f>E37*36368</f>
        <v>46683783.200000003</v>
      </c>
      <c r="E37" s="7">
        <v>1283.6500000000001</v>
      </c>
      <c r="F37" s="7">
        <f t="shared" si="3"/>
        <v>46683783.200000003</v>
      </c>
      <c r="G37" s="7">
        <f t="shared" si="4"/>
        <v>39214377.890000001</v>
      </c>
      <c r="H37" s="7">
        <f t="shared" si="5"/>
        <v>7469405.3100000024</v>
      </c>
    </row>
    <row r="38" spans="1:8" ht="15.75" x14ac:dyDescent="0.25">
      <c r="A38" s="8">
        <v>26</v>
      </c>
      <c r="B38" s="9" t="s">
        <v>28</v>
      </c>
      <c r="C38" s="10">
        <v>3018.44</v>
      </c>
      <c r="D38" s="7">
        <f t="shared" si="1"/>
        <v>10980503.539999999</v>
      </c>
      <c r="E38" s="7">
        <f t="shared" si="2"/>
        <v>302.49321046831955</v>
      </c>
      <c r="F38" s="7">
        <f t="shared" si="3"/>
        <v>10980503.539999999</v>
      </c>
      <c r="G38" s="7">
        <f t="shared" si="4"/>
        <v>9223622.9700000007</v>
      </c>
      <c r="H38" s="7">
        <f t="shared" si="5"/>
        <v>1756880.5699999984</v>
      </c>
    </row>
    <row r="39" spans="1:8" ht="15.75" x14ac:dyDescent="0.25">
      <c r="A39" s="8">
        <v>27</v>
      </c>
      <c r="B39" s="9" t="s">
        <v>29</v>
      </c>
      <c r="C39" s="10">
        <v>748.8</v>
      </c>
      <c r="D39" s="7">
        <f>748.8*36368</f>
        <v>27232358.399999999</v>
      </c>
      <c r="E39" s="7">
        <v>748.8</v>
      </c>
      <c r="F39" s="7">
        <f t="shared" si="3"/>
        <v>27232358.399999999</v>
      </c>
      <c r="G39" s="7">
        <f t="shared" si="4"/>
        <v>22875181.059999999</v>
      </c>
      <c r="H39" s="7">
        <f t="shared" si="5"/>
        <v>4357177.34</v>
      </c>
    </row>
  </sheetData>
  <sheetProtection algorithmName="SHA-512" hashValue="xvaERimp9dcc0Q26WWKWAu5txiURgmPRqPZVufQvtQ7WOtoUlD0G7wOqoWIFpJKwWN1ZEXBGI80RzdMvVC17WQ==" saltValue="hS+cYLJB1aN7x+6+dL9uxw==" spinCount="100000" sheet="1" formatCells="0" formatColumns="0" formatRows="0" insertColumns="0" insertRows="0" insertHyperlinks="0" deleteColumns="0" deleteRows="0" sort="0" autoFilter="0" pivotTables="0"/>
  <mergeCells count="9">
    <mergeCell ref="A2:H2"/>
    <mergeCell ref="A8:A11"/>
    <mergeCell ref="B8:B11"/>
    <mergeCell ref="C8:C11"/>
    <mergeCell ref="F8:F10"/>
    <mergeCell ref="G8:H8"/>
    <mergeCell ref="G9:G10"/>
    <mergeCell ref="H9:H10"/>
    <mergeCell ref="E8:E10"/>
  </mergeCells>
  <pageMargins left="0.31496062992125984" right="0.31496062992125984" top="0.74803149606299213" bottom="0.74803149606299213" header="0.31496062992125984" footer="0.31496062992125984"/>
  <pageSetup paperSize="9" scale="92" fitToHeight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5A212-F40B-42F3-B709-08B53986E377}">
  <sheetPr>
    <pageSetUpPr fitToPage="1"/>
  </sheetPr>
  <dimension ref="A2:H36"/>
  <sheetViews>
    <sheetView workbookViewId="0">
      <selection activeCell="A4" sqref="A4:XFD7"/>
    </sheetView>
  </sheetViews>
  <sheetFormatPr defaultRowHeight="15" x14ac:dyDescent="0.25"/>
  <cols>
    <col min="1" max="1" width="3.28515625" style="1" bestFit="1" customWidth="1"/>
    <col min="2" max="2" width="23.28515625" style="1" bestFit="1" customWidth="1"/>
    <col min="3" max="3" width="19.7109375" style="1" hidden="1" customWidth="1"/>
    <col min="4" max="4" width="24.5703125" style="1" hidden="1" customWidth="1"/>
    <col min="5" max="5" width="19.140625" style="1" customWidth="1"/>
    <col min="6" max="6" width="19.42578125" style="1" customWidth="1"/>
    <col min="7" max="7" width="20.42578125" style="1" customWidth="1"/>
    <col min="8" max="8" width="19.7109375" style="1" customWidth="1"/>
    <col min="9" max="16384" width="9.140625" style="1"/>
  </cols>
  <sheetData>
    <row r="2" spans="1:8" ht="43.5" customHeight="1" x14ac:dyDescent="0.3">
      <c r="A2" s="13" t="s">
        <v>39</v>
      </c>
      <c r="B2" s="13"/>
      <c r="C2" s="13"/>
      <c r="D2" s="13"/>
      <c r="E2" s="13"/>
      <c r="F2" s="13"/>
      <c r="G2" s="13"/>
      <c r="H2" s="13"/>
    </row>
    <row r="4" spans="1:8" hidden="1" x14ac:dyDescent="0.25"/>
    <row r="5" spans="1:8" hidden="1" x14ac:dyDescent="0.25">
      <c r="D5" s="1">
        <v>4611.3352500000001</v>
      </c>
      <c r="E5" s="1">
        <f>F7/36368</f>
        <v>49229.854864441266</v>
      </c>
      <c r="F5" s="1">
        <v>50900</v>
      </c>
    </row>
    <row r="6" spans="1:8" hidden="1" x14ac:dyDescent="0.25">
      <c r="D6" s="1">
        <f>E7/F7*100</f>
        <v>18.753112150816108</v>
      </c>
      <c r="E6" s="2">
        <f>1514822664.91</f>
        <v>1514822664.9100001</v>
      </c>
      <c r="F6" s="1">
        <f>F7/C7</f>
        <v>4611.335251568411</v>
      </c>
      <c r="G6" s="1">
        <f>(E6+E7)/36368</f>
        <v>50884.754864441267</v>
      </c>
    </row>
    <row r="7" spans="1:8" hidden="1" x14ac:dyDescent="0.25">
      <c r="C7" s="12">
        <f>C12-C18-C20-C35</f>
        <v>388258.77192534436</v>
      </c>
      <c r="E7" s="2">
        <v>335754100</v>
      </c>
      <c r="F7" s="2">
        <f>E6+E7-D18-D20-D35</f>
        <v>1790391361.71</v>
      </c>
      <c r="G7" s="2"/>
    </row>
    <row r="8" spans="1:8" ht="23.25" customHeight="1" x14ac:dyDescent="0.25">
      <c r="A8" s="14" t="s">
        <v>0</v>
      </c>
      <c r="B8" s="17" t="s">
        <v>1</v>
      </c>
      <c r="C8" s="17" t="s">
        <v>30</v>
      </c>
      <c r="D8" s="3"/>
      <c r="E8" s="18" t="s">
        <v>31</v>
      </c>
      <c r="F8" s="18" t="s">
        <v>34</v>
      </c>
      <c r="G8" s="21" t="s">
        <v>35</v>
      </c>
      <c r="H8" s="22"/>
    </row>
    <row r="9" spans="1:8" x14ac:dyDescent="0.25">
      <c r="A9" s="15"/>
      <c r="B9" s="17"/>
      <c r="C9" s="17"/>
      <c r="D9" s="3"/>
      <c r="E9" s="19"/>
      <c r="F9" s="19"/>
      <c r="G9" s="18" t="s">
        <v>36</v>
      </c>
      <c r="H9" s="18" t="s">
        <v>37</v>
      </c>
    </row>
    <row r="10" spans="1:8" ht="45" customHeight="1" x14ac:dyDescent="0.25">
      <c r="A10" s="15"/>
      <c r="B10" s="17"/>
      <c r="C10" s="17"/>
      <c r="D10" s="3"/>
      <c r="E10" s="19"/>
      <c r="F10" s="20"/>
      <c r="G10" s="20"/>
      <c r="H10" s="20"/>
    </row>
    <row r="11" spans="1:8" x14ac:dyDescent="0.25">
      <c r="A11" s="16"/>
      <c r="B11" s="17"/>
      <c r="C11" s="17"/>
      <c r="D11" s="3"/>
      <c r="E11" s="11" t="s">
        <v>32</v>
      </c>
      <c r="F11" s="11" t="s">
        <v>33</v>
      </c>
      <c r="G11" s="11" t="s">
        <v>33</v>
      </c>
      <c r="H11" s="11" t="s">
        <v>33</v>
      </c>
    </row>
    <row r="12" spans="1:8" x14ac:dyDescent="0.25">
      <c r="A12" s="4"/>
      <c r="B12" s="5" t="s">
        <v>2</v>
      </c>
      <c r="C12" s="6">
        <f t="shared" ref="C12:H12" si="0">SUM(C13:C36)</f>
        <v>390667.67192534439</v>
      </c>
      <c r="D12" s="7">
        <f t="shared" si="0"/>
        <v>1850576764.3299999</v>
      </c>
      <c r="E12" s="7">
        <f t="shared" si="0"/>
        <v>50976.976064187329</v>
      </c>
      <c r="F12" s="7">
        <f t="shared" si="0"/>
        <v>1850576764.3299999</v>
      </c>
      <c r="G12" s="7">
        <f t="shared" si="0"/>
        <v>1545633200.4200001</v>
      </c>
      <c r="H12" s="7">
        <f t="shared" si="0"/>
        <v>304943563.91000009</v>
      </c>
    </row>
    <row r="13" spans="1:8" ht="15.75" x14ac:dyDescent="0.25">
      <c r="A13" s="8">
        <v>1</v>
      </c>
      <c r="B13" s="9" t="s">
        <v>3</v>
      </c>
      <c r="C13" s="10">
        <f>44963.35-'2020 год'!E13-3825.7</f>
        <v>36631.644215702479</v>
      </c>
      <c r="D13" s="7">
        <f>ROUND((C13*4611.33525),2)</f>
        <v>168920792.24000001</v>
      </c>
      <c r="E13" s="7">
        <f>D13/36300</f>
        <v>4653.4653509641876</v>
      </c>
      <c r="F13" s="7">
        <f>G13+H13</f>
        <v>168920792.24000001</v>
      </c>
      <c r="G13" s="7">
        <f>ROUND((D13*0.84),2)</f>
        <v>141893465.47999999</v>
      </c>
      <c r="H13" s="7">
        <f>D13-G13</f>
        <v>27027326.76000002</v>
      </c>
    </row>
    <row r="14" spans="1:8" ht="15.75" x14ac:dyDescent="0.25">
      <c r="A14" s="8">
        <v>2</v>
      </c>
      <c r="B14" s="9" t="s">
        <v>4</v>
      </c>
      <c r="C14" s="10">
        <f>3448.6-'2020 год'!E14-821.2</f>
        <v>2281.7982699724516</v>
      </c>
      <c r="D14" s="7">
        <f>ROUND((C14*4611.33525),2)</f>
        <v>10522136.800000001</v>
      </c>
      <c r="E14" s="7">
        <f t="shared" ref="E14:E36" si="1">D14/36300</f>
        <v>289.86602754820939</v>
      </c>
      <c r="F14" s="7">
        <f t="shared" ref="F14:F36" si="2">G14+H14</f>
        <v>10522136.800000001</v>
      </c>
      <c r="G14" s="7">
        <f t="shared" ref="G14:G36" si="3">ROUND((D14*0.84),2)</f>
        <v>8838594.9100000001</v>
      </c>
      <c r="H14" s="7">
        <f t="shared" ref="H14:H36" si="4">D14-G14</f>
        <v>1683541.8900000006</v>
      </c>
    </row>
    <row r="15" spans="1:8" ht="15.75" x14ac:dyDescent="0.25">
      <c r="A15" s="8">
        <v>3</v>
      </c>
      <c r="B15" s="9" t="s">
        <v>5</v>
      </c>
      <c r="C15" s="10">
        <f>13516.61-'2020 год'!E15-1158</f>
        <v>11004.04182754821</v>
      </c>
      <c r="D15" s="7">
        <f>ROUND((C15*4611.33525),2)</f>
        <v>50743325.969999999</v>
      </c>
      <c r="E15" s="7">
        <f t="shared" si="1"/>
        <v>1397.887767768595</v>
      </c>
      <c r="F15" s="7">
        <f t="shared" si="2"/>
        <v>50743325.969999999</v>
      </c>
      <c r="G15" s="7">
        <f t="shared" si="3"/>
        <v>42624393.810000002</v>
      </c>
      <c r="H15" s="7">
        <f t="shared" si="4"/>
        <v>8118932.1599999964</v>
      </c>
    </row>
    <row r="16" spans="1:8" ht="15.75" x14ac:dyDescent="0.25">
      <c r="A16" s="8">
        <v>4</v>
      </c>
      <c r="B16" s="9" t="s">
        <v>6</v>
      </c>
      <c r="C16" s="10">
        <f>37934.9-'2020 год'!E16-3445.4</f>
        <v>30687.850905234161</v>
      </c>
      <c r="D16" s="7">
        <f>ROUND((C16*4611.33525),2)</f>
        <v>141511968.63</v>
      </c>
      <c r="E16" s="7">
        <f t="shared" si="1"/>
        <v>3898.4013396694213</v>
      </c>
      <c r="F16" s="7">
        <f t="shared" si="2"/>
        <v>141511968.63</v>
      </c>
      <c r="G16" s="7">
        <f t="shared" si="3"/>
        <v>118870053.65000001</v>
      </c>
      <c r="H16" s="7">
        <f t="shared" si="4"/>
        <v>22641914.979999989</v>
      </c>
    </row>
    <row r="17" spans="1:8" ht="15.75" x14ac:dyDescent="0.25">
      <c r="A17" s="8">
        <v>5</v>
      </c>
      <c r="B17" s="9" t="s">
        <v>7</v>
      </c>
      <c r="C17" s="10">
        <f>31886.65-'2020 год'!E17-7183.6</f>
        <v>21507.526771900826</v>
      </c>
      <c r="D17" s="7">
        <f>ROUND((C17*4611.33525),2)</f>
        <v>99178416.340000004</v>
      </c>
      <c r="E17" s="7">
        <f t="shared" si="1"/>
        <v>2732.1877779614324</v>
      </c>
      <c r="F17" s="7">
        <f t="shared" si="2"/>
        <v>99178416.340000004</v>
      </c>
      <c r="G17" s="7">
        <f t="shared" si="3"/>
        <v>83309869.730000004</v>
      </c>
      <c r="H17" s="7">
        <f t="shared" si="4"/>
        <v>15868546.609999999</v>
      </c>
    </row>
    <row r="18" spans="1:8" ht="15.75" x14ac:dyDescent="0.25">
      <c r="A18" s="8">
        <v>6</v>
      </c>
      <c r="B18" s="9" t="s">
        <v>8</v>
      </c>
      <c r="C18" s="10">
        <f>339.5+754.3</f>
        <v>1093.8</v>
      </c>
      <c r="D18" s="7">
        <f>E18*36368</f>
        <v>12357846.4</v>
      </c>
      <c r="E18" s="7">
        <v>339.8</v>
      </c>
      <c r="F18" s="7">
        <f t="shared" si="2"/>
        <v>12357846.4</v>
      </c>
      <c r="G18" s="7">
        <f t="shared" si="3"/>
        <v>10380590.98</v>
      </c>
      <c r="H18" s="7">
        <f t="shared" si="4"/>
        <v>1977255.42</v>
      </c>
    </row>
    <row r="19" spans="1:8" ht="15.75" x14ac:dyDescent="0.25">
      <c r="A19" s="8">
        <v>7</v>
      </c>
      <c r="B19" s="9" t="s">
        <v>9</v>
      </c>
      <c r="C19" s="10">
        <f>68460.7-'2020 год'!E19-5849.7</f>
        <v>55750.205370798896</v>
      </c>
      <c r="D19" s="7">
        <f>ROUND((C19*4611.33525),2)</f>
        <v>257082887.22</v>
      </c>
      <c r="E19" s="7">
        <f t="shared" si="1"/>
        <v>7082.1732016528922</v>
      </c>
      <c r="F19" s="7">
        <f t="shared" si="2"/>
        <v>257082887.22</v>
      </c>
      <c r="G19" s="7">
        <f t="shared" si="3"/>
        <v>215949625.25999999</v>
      </c>
      <c r="H19" s="7">
        <f t="shared" si="4"/>
        <v>41133261.960000008</v>
      </c>
    </row>
    <row r="20" spans="1:8" ht="15.75" x14ac:dyDescent="0.25">
      <c r="A20" s="8">
        <v>8</v>
      </c>
      <c r="B20" s="9" t="s">
        <v>10</v>
      </c>
      <c r="C20" s="10">
        <v>862.9</v>
      </c>
      <c r="D20" s="7">
        <f>E20*36368</f>
        <v>31381947.199999999</v>
      </c>
      <c r="E20" s="7">
        <v>862.9</v>
      </c>
      <c r="F20" s="7">
        <f t="shared" si="2"/>
        <v>31381947.199999999</v>
      </c>
      <c r="G20" s="7">
        <f t="shared" si="3"/>
        <v>26360835.649999999</v>
      </c>
      <c r="H20" s="7">
        <f t="shared" si="4"/>
        <v>5021111.5500000007</v>
      </c>
    </row>
    <row r="21" spans="1:8" ht="15.75" x14ac:dyDescent="0.25">
      <c r="A21" s="8">
        <v>9</v>
      </c>
      <c r="B21" s="9" t="s">
        <v>11</v>
      </c>
      <c r="C21" s="10">
        <f>4590.6-'2020 год'!E21-406.4</f>
        <v>3724.1526468319566</v>
      </c>
      <c r="D21" s="7">
        <f t="shared" ref="D21:D34" si="5">ROUND((C21*4611.33525),2)</f>
        <v>17173316.379999999</v>
      </c>
      <c r="E21" s="7">
        <f t="shared" si="1"/>
        <v>473.0941151515151</v>
      </c>
      <c r="F21" s="7">
        <f t="shared" si="2"/>
        <v>17173316.379999999</v>
      </c>
      <c r="G21" s="7">
        <f t="shared" si="3"/>
        <v>14425585.76</v>
      </c>
      <c r="H21" s="7">
        <f t="shared" si="4"/>
        <v>2747730.6199999992</v>
      </c>
    </row>
    <row r="22" spans="1:8" ht="15.75" x14ac:dyDescent="0.25">
      <c r="A22" s="8">
        <v>10</v>
      </c>
      <c r="B22" s="9" t="s">
        <v>12</v>
      </c>
      <c r="C22" s="10">
        <f>87542.01-'2020 год'!E22-9529.6</f>
        <v>69798.608984297505</v>
      </c>
      <c r="D22" s="7">
        <f t="shared" si="5"/>
        <v>321864786.00999999</v>
      </c>
      <c r="E22" s="7">
        <f t="shared" si="1"/>
        <v>8866.798512672176</v>
      </c>
      <c r="F22" s="7">
        <f t="shared" si="2"/>
        <v>321864786.00999999</v>
      </c>
      <c r="G22" s="7">
        <f>ROUND((D22*0.8125),2)</f>
        <v>261515138.63</v>
      </c>
      <c r="H22" s="7">
        <f t="shared" si="4"/>
        <v>60349647.379999995</v>
      </c>
    </row>
    <row r="23" spans="1:8" ht="15.75" x14ac:dyDescent="0.25">
      <c r="A23" s="8">
        <v>11</v>
      </c>
      <c r="B23" s="9" t="s">
        <v>13</v>
      </c>
      <c r="C23" s="10">
        <f>14317.3-'2020 год'!E23-1224.3</f>
        <v>11658.190613774104</v>
      </c>
      <c r="D23" s="7">
        <f t="shared" si="5"/>
        <v>53759825.329999998</v>
      </c>
      <c r="E23" s="7">
        <f t="shared" si="1"/>
        <v>1480.9869236914601</v>
      </c>
      <c r="F23" s="7">
        <f t="shared" si="2"/>
        <v>53759825.329999998</v>
      </c>
      <c r="G23" s="7">
        <f t="shared" si="3"/>
        <v>45158253.280000001</v>
      </c>
      <c r="H23" s="7">
        <f t="shared" si="4"/>
        <v>8601572.049999997</v>
      </c>
    </row>
    <row r="24" spans="1:8" ht="15.75" x14ac:dyDescent="0.25">
      <c r="A24" s="8">
        <v>12</v>
      </c>
      <c r="B24" s="9" t="s">
        <v>14</v>
      </c>
      <c r="C24" s="10">
        <f>8260.2-'2020 год'!E24-769.9</f>
        <v>6662.5033840220394</v>
      </c>
      <c r="D24" s="7">
        <f t="shared" si="5"/>
        <v>30723036.710000001</v>
      </c>
      <c r="E24" s="7">
        <f t="shared" si="1"/>
        <v>846.36464765840219</v>
      </c>
      <c r="F24" s="7">
        <f t="shared" si="2"/>
        <v>30723036.710000001</v>
      </c>
      <c r="G24" s="7">
        <f t="shared" si="3"/>
        <v>25807350.84</v>
      </c>
      <c r="H24" s="7">
        <f t="shared" si="4"/>
        <v>4915685.870000001</v>
      </c>
    </row>
    <row r="25" spans="1:8" ht="15.75" x14ac:dyDescent="0.25">
      <c r="A25" s="8">
        <v>13</v>
      </c>
      <c r="B25" s="9" t="s">
        <v>15</v>
      </c>
      <c r="C25" s="10">
        <f>25086.13-'2020 год'!E25-2366.1</f>
        <v>20206.021437741048</v>
      </c>
      <c r="D25" s="7">
        <f t="shared" si="5"/>
        <v>93176738.920000002</v>
      </c>
      <c r="E25" s="7">
        <f t="shared" si="1"/>
        <v>2566.8523118457301</v>
      </c>
      <c r="F25" s="7">
        <f t="shared" si="2"/>
        <v>93176738.920000002</v>
      </c>
      <c r="G25" s="7">
        <f t="shared" si="3"/>
        <v>78268460.689999998</v>
      </c>
      <c r="H25" s="7">
        <f t="shared" si="4"/>
        <v>14908278.230000004</v>
      </c>
    </row>
    <row r="26" spans="1:8" ht="15.75" x14ac:dyDescent="0.25">
      <c r="A26" s="8">
        <v>14</v>
      </c>
      <c r="B26" s="9" t="s">
        <v>16</v>
      </c>
      <c r="C26" s="10">
        <f>3800.1-'2020 год'!E26-396.6</f>
        <v>3022.6726688705235</v>
      </c>
      <c r="D26" s="7">
        <f t="shared" si="5"/>
        <v>13938557.029999999</v>
      </c>
      <c r="E26" s="7">
        <f t="shared" si="1"/>
        <v>383.98228732782366</v>
      </c>
      <c r="F26" s="7">
        <f t="shared" si="2"/>
        <v>13938557.029999999</v>
      </c>
      <c r="G26" s="7">
        <f t="shared" si="3"/>
        <v>11708387.91</v>
      </c>
      <c r="H26" s="7">
        <f t="shared" si="4"/>
        <v>2230169.1199999992</v>
      </c>
    </row>
    <row r="27" spans="1:8" ht="15.75" x14ac:dyDescent="0.25">
      <c r="A27" s="8">
        <v>15</v>
      </c>
      <c r="B27" s="9" t="s">
        <v>17</v>
      </c>
      <c r="C27" s="10">
        <f>97717.8-'2020 год'!E27-8114.9</f>
        <v>81044.175013774118</v>
      </c>
      <c r="D27" s="7">
        <f t="shared" si="5"/>
        <v>373721861.05000001</v>
      </c>
      <c r="E27" s="7">
        <f t="shared" si="1"/>
        <v>10295.368073002755</v>
      </c>
      <c r="F27" s="7">
        <f t="shared" si="2"/>
        <v>373721861.05000001</v>
      </c>
      <c r="G27" s="7">
        <f t="shared" si="3"/>
        <v>313926363.27999997</v>
      </c>
      <c r="H27" s="7">
        <f t="shared" si="4"/>
        <v>59795497.770000041</v>
      </c>
    </row>
    <row r="28" spans="1:8" ht="15.75" x14ac:dyDescent="0.25">
      <c r="A28" s="8">
        <v>16</v>
      </c>
      <c r="B28" s="9" t="s">
        <v>18</v>
      </c>
      <c r="C28" s="10">
        <f>4796.35-'2020 год'!E28-637.11</f>
        <v>3678.5733939393945</v>
      </c>
      <c r="D28" s="7">
        <f t="shared" si="5"/>
        <v>16963135.16</v>
      </c>
      <c r="E28" s="7">
        <f t="shared" si="1"/>
        <v>467.30399889807165</v>
      </c>
      <c r="F28" s="7">
        <f t="shared" si="2"/>
        <v>16963135.16</v>
      </c>
      <c r="G28" s="7">
        <f t="shared" si="3"/>
        <v>14249033.529999999</v>
      </c>
      <c r="H28" s="7">
        <f t="shared" si="4"/>
        <v>2714101.6300000008</v>
      </c>
    </row>
    <row r="29" spans="1:8" ht="15.75" x14ac:dyDescent="0.25">
      <c r="A29" s="8">
        <v>17</v>
      </c>
      <c r="B29" s="9" t="s">
        <v>19</v>
      </c>
      <c r="C29" s="10">
        <f>2246.67-'2020 год'!E29-232.77</f>
        <v>1788.7497829201102</v>
      </c>
      <c r="D29" s="7">
        <f t="shared" si="5"/>
        <v>8248524.9299999997</v>
      </c>
      <c r="E29" s="7">
        <f t="shared" si="1"/>
        <v>227.23209173553718</v>
      </c>
      <c r="F29" s="7">
        <f t="shared" si="2"/>
        <v>8248524.9299999997</v>
      </c>
      <c r="G29" s="7">
        <f t="shared" si="3"/>
        <v>6928760.9400000004</v>
      </c>
      <c r="H29" s="7">
        <f t="shared" si="4"/>
        <v>1319763.9899999993</v>
      </c>
    </row>
    <row r="30" spans="1:8" ht="15.75" x14ac:dyDescent="0.25">
      <c r="A30" s="8">
        <v>18</v>
      </c>
      <c r="B30" s="9" t="s">
        <v>21</v>
      </c>
      <c r="C30" s="10">
        <f>4396.2-'2020 год'!E31-564.5</f>
        <v>3391.1344586776859</v>
      </c>
      <c r="D30" s="7">
        <f t="shared" si="5"/>
        <v>15637657.869999999</v>
      </c>
      <c r="E30" s="7">
        <f t="shared" si="1"/>
        <v>430.78947300275479</v>
      </c>
      <c r="F30" s="7">
        <f t="shared" si="2"/>
        <v>15637657.869999999</v>
      </c>
      <c r="G30" s="7">
        <f t="shared" si="3"/>
        <v>13135632.609999999</v>
      </c>
      <c r="H30" s="7">
        <f t="shared" si="4"/>
        <v>2502025.2599999998</v>
      </c>
    </row>
    <row r="31" spans="1:8" ht="15.75" x14ac:dyDescent="0.25">
      <c r="A31" s="8">
        <v>19</v>
      </c>
      <c r="B31" s="9" t="s">
        <v>22</v>
      </c>
      <c r="C31" s="10">
        <f>2015.5-'2020 год'!E32-258.6</f>
        <v>1554.9165033057852</v>
      </c>
      <c r="D31" s="7">
        <f t="shared" si="5"/>
        <v>7170241.2800000003</v>
      </c>
      <c r="E31" s="7">
        <f t="shared" si="1"/>
        <v>197.52730798898071</v>
      </c>
      <c r="F31" s="7">
        <f t="shared" si="2"/>
        <v>7170241.2800000003</v>
      </c>
      <c r="G31" s="7">
        <f t="shared" si="3"/>
        <v>6023002.6799999997</v>
      </c>
      <c r="H31" s="7">
        <f t="shared" si="4"/>
        <v>1147238.6000000006</v>
      </c>
    </row>
    <row r="32" spans="1:8" ht="15.75" x14ac:dyDescent="0.25">
      <c r="A32" s="8">
        <v>20</v>
      </c>
      <c r="B32" s="9" t="s">
        <v>23</v>
      </c>
      <c r="C32" s="10">
        <f>2717.16-'2020 год'!E33-192.9</f>
        <v>2251.9595892561979</v>
      </c>
      <c r="D32" s="7">
        <f t="shared" si="5"/>
        <v>10384540.640000001</v>
      </c>
      <c r="E32" s="7">
        <f t="shared" si="1"/>
        <v>286.0754997245179</v>
      </c>
      <c r="F32" s="7">
        <f t="shared" si="2"/>
        <v>10384540.640000001</v>
      </c>
      <c r="G32" s="7">
        <f t="shared" si="3"/>
        <v>8723014.1400000006</v>
      </c>
      <c r="H32" s="7">
        <f t="shared" si="4"/>
        <v>1661526.5</v>
      </c>
    </row>
    <row r="33" spans="1:8" ht="15.75" x14ac:dyDescent="0.25">
      <c r="A33" s="8">
        <v>21</v>
      </c>
      <c r="B33" s="9" t="s">
        <v>24</v>
      </c>
      <c r="C33" s="10">
        <f>15257.4-'2020 год'!E34-1277.1</f>
        <v>12451.278415702478</v>
      </c>
      <c r="D33" s="7">
        <f t="shared" si="5"/>
        <v>57417019.07</v>
      </c>
      <c r="E33" s="7">
        <f t="shared" si="1"/>
        <v>1581.7360625344352</v>
      </c>
      <c r="F33" s="7">
        <f t="shared" si="2"/>
        <v>57417019.07</v>
      </c>
      <c r="G33" s="7">
        <f t="shared" si="3"/>
        <v>48230296.020000003</v>
      </c>
      <c r="H33" s="7">
        <f t="shared" si="4"/>
        <v>9186723.049999997</v>
      </c>
    </row>
    <row r="34" spans="1:8" ht="15.75" x14ac:dyDescent="0.25">
      <c r="A34" s="8">
        <v>22</v>
      </c>
      <c r="B34" s="9" t="s">
        <v>25</v>
      </c>
      <c r="C34" s="10">
        <f>8229.99-'2020 год'!E35-695.1</f>
        <v>6710.120881542699</v>
      </c>
      <c r="D34" s="7">
        <f t="shared" si="5"/>
        <v>30942616.949999999</v>
      </c>
      <c r="E34" s="7">
        <f t="shared" si="1"/>
        <v>852.41369008264462</v>
      </c>
      <c r="F34" s="7">
        <f t="shared" si="2"/>
        <v>30942616.949999999</v>
      </c>
      <c r="G34" s="7">
        <f t="shared" si="3"/>
        <v>25991798.239999998</v>
      </c>
      <c r="H34" s="7">
        <f t="shared" si="4"/>
        <v>4950818.7100000009</v>
      </c>
    </row>
    <row r="35" spans="1:8" ht="15.75" x14ac:dyDescent="0.25">
      <c r="A35" s="8">
        <v>23</v>
      </c>
      <c r="B35" s="9" t="s">
        <v>26</v>
      </c>
      <c r="C35" s="10">
        <v>452.2</v>
      </c>
      <c r="D35" s="7">
        <f>E35*36368</f>
        <v>16445609.6</v>
      </c>
      <c r="E35" s="7">
        <v>452.2</v>
      </c>
      <c r="F35" s="7">
        <f t="shared" si="2"/>
        <v>16445609.6</v>
      </c>
      <c r="G35" s="7">
        <f t="shared" si="3"/>
        <v>13814312.060000001</v>
      </c>
      <c r="H35" s="7">
        <f t="shared" si="4"/>
        <v>2631297.5399999991</v>
      </c>
    </row>
    <row r="36" spans="1:8" ht="15.75" x14ac:dyDescent="0.25">
      <c r="A36" s="8">
        <v>24</v>
      </c>
      <c r="B36" s="9" t="s">
        <v>28</v>
      </c>
      <c r="C36" s="10">
        <f>3018.44-'2020 год'!E38-263.3</f>
        <v>2452.6467895316805</v>
      </c>
      <c r="D36" s="7">
        <f>ROUND((C36*4611.33525),2)</f>
        <v>11309976.6</v>
      </c>
      <c r="E36" s="7">
        <f t="shared" si="1"/>
        <v>311.56960330578511</v>
      </c>
      <c r="F36" s="7">
        <f t="shared" si="2"/>
        <v>11309976.6</v>
      </c>
      <c r="G36" s="7">
        <f t="shared" si="3"/>
        <v>9500380.3399999999</v>
      </c>
      <c r="H36" s="7">
        <f t="shared" si="4"/>
        <v>1809596.2599999998</v>
      </c>
    </row>
  </sheetData>
  <sheetProtection algorithmName="SHA-512" hashValue="mpAFtD9NkTWCcoKdsjTp1ZMvbPo/vU9MwJJGnse0hYE1DpwgJU0I8IoZbsGbC9iMhYqUgs4jgTKKpZjCEK2dpg==" saltValue="8f5ZuQjO6D6I0lEP+BXZpg==" spinCount="100000" sheet="1" formatCells="0" formatColumns="0" formatRows="0" insertColumns="0" insertRows="0" insertHyperlinks="0" deleteColumns="0" deleteRows="0" sort="0" autoFilter="0" pivotTables="0"/>
  <mergeCells count="9">
    <mergeCell ref="A2:H2"/>
    <mergeCell ref="A8:A11"/>
    <mergeCell ref="B8:B11"/>
    <mergeCell ref="C8:C11"/>
    <mergeCell ref="E8:E10"/>
    <mergeCell ref="F8:F10"/>
    <mergeCell ref="G8:H8"/>
    <mergeCell ref="G9:G10"/>
    <mergeCell ref="H9:H10"/>
  </mergeCells>
  <pageMargins left="0.31496062992125984" right="0.31496062992125984" top="0.74803149606299213" bottom="0.74803149606299213" header="0.31496062992125984" footer="0.31496062992125984"/>
  <pageSetup paperSize="9" scale="92" fitToHeight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45B57-4833-4188-A832-C0E364D4BA47}">
  <sheetPr>
    <pageSetUpPr fitToPage="1"/>
  </sheetPr>
  <dimension ref="A2:H34"/>
  <sheetViews>
    <sheetView topLeftCell="A11" workbookViewId="0">
      <selection activeCell="H29" sqref="H29"/>
    </sheetView>
  </sheetViews>
  <sheetFormatPr defaultRowHeight="15" x14ac:dyDescent="0.25"/>
  <cols>
    <col min="1" max="1" width="3.28515625" style="1" bestFit="1" customWidth="1"/>
    <col min="2" max="2" width="23.28515625" style="1" bestFit="1" customWidth="1"/>
    <col min="3" max="3" width="19.7109375" style="1" hidden="1" customWidth="1"/>
    <col min="4" max="4" width="24.5703125" style="1" hidden="1" customWidth="1"/>
    <col min="5" max="5" width="19.140625" style="1" customWidth="1"/>
    <col min="6" max="6" width="19.42578125" style="1" customWidth="1"/>
    <col min="7" max="7" width="20.42578125" style="1" customWidth="1"/>
    <col min="8" max="8" width="19.7109375" style="1" customWidth="1"/>
    <col min="9" max="16384" width="9.140625" style="1"/>
  </cols>
  <sheetData>
    <row r="2" spans="1:8" ht="43.5" customHeight="1" x14ac:dyDescent="0.3">
      <c r="A2" s="13" t="s">
        <v>40</v>
      </c>
      <c r="B2" s="13"/>
      <c r="C2" s="13"/>
      <c r="D2" s="13"/>
      <c r="E2" s="13"/>
      <c r="F2" s="13"/>
      <c r="G2" s="13"/>
      <c r="H2" s="13"/>
    </row>
    <row r="4" spans="1:8" hidden="1" x14ac:dyDescent="0.25"/>
    <row r="5" spans="1:8" hidden="1" x14ac:dyDescent="0.25">
      <c r="D5" s="1">
        <v>15570.66524</v>
      </c>
      <c r="E5" s="1">
        <f>F7/36368</f>
        <v>145113.00670919489</v>
      </c>
      <c r="F5" s="1">
        <f>(E7+E6)/36368</f>
        <v>145867.00670919489</v>
      </c>
    </row>
    <row r="6" spans="1:8" hidden="1" x14ac:dyDescent="0.25">
      <c r="D6" s="1">
        <f>E7/F7*100</f>
        <v>14.515099564108771</v>
      </c>
      <c r="E6" s="2">
        <v>4538861300</v>
      </c>
      <c r="F6" s="1">
        <f>F7/C7</f>
        <v>15570.665237622648</v>
      </c>
    </row>
    <row r="7" spans="1:8" hidden="1" x14ac:dyDescent="0.25">
      <c r="C7" s="12">
        <f>C12-C18</f>
        <v>338936.69586115715</v>
      </c>
      <c r="E7" s="2">
        <v>766030000</v>
      </c>
      <c r="F7" s="2">
        <f>E6+E7-D18</f>
        <v>5277469828</v>
      </c>
      <c r="G7" s="2"/>
    </row>
    <row r="8" spans="1:8" ht="23.25" customHeight="1" x14ac:dyDescent="0.25">
      <c r="A8" s="14" t="s">
        <v>0</v>
      </c>
      <c r="B8" s="17" t="s">
        <v>1</v>
      </c>
      <c r="C8" s="17" t="s">
        <v>30</v>
      </c>
      <c r="D8" s="3"/>
      <c r="E8" s="18" t="s">
        <v>31</v>
      </c>
      <c r="F8" s="18" t="s">
        <v>34</v>
      </c>
      <c r="G8" s="21" t="s">
        <v>35</v>
      </c>
      <c r="H8" s="22"/>
    </row>
    <row r="9" spans="1:8" x14ac:dyDescent="0.25">
      <c r="A9" s="15"/>
      <c r="B9" s="17"/>
      <c r="C9" s="17"/>
      <c r="D9" s="3"/>
      <c r="E9" s="19"/>
      <c r="F9" s="19"/>
      <c r="G9" s="18" t="s">
        <v>36</v>
      </c>
      <c r="H9" s="18" t="s">
        <v>37</v>
      </c>
    </row>
    <row r="10" spans="1:8" ht="45" customHeight="1" x14ac:dyDescent="0.25">
      <c r="A10" s="15"/>
      <c r="B10" s="17"/>
      <c r="C10" s="17"/>
      <c r="D10" s="3"/>
      <c r="E10" s="19"/>
      <c r="F10" s="20"/>
      <c r="G10" s="20"/>
      <c r="H10" s="20"/>
    </row>
    <row r="11" spans="1:8" x14ac:dyDescent="0.25">
      <c r="A11" s="16"/>
      <c r="B11" s="17"/>
      <c r="C11" s="17"/>
      <c r="D11" s="3"/>
      <c r="E11" s="11" t="s">
        <v>32</v>
      </c>
      <c r="F11" s="11" t="s">
        <v>33</v>
      </c>
      <c r="G11" s="11" t="s">
        <v>33</v>
      </c>
      <c r="H11" s="11" t="s">
        <v>33</v>
      </c>
    </row>
    <row r="12" spans="1:8" x14ac:dyDescent="0.25">
      <c r="A12" s="4"/>
      <c r="B12" s="5" t="s">
        <v>2</v>
      </c>
      <c r="C12" s="6">
        <f t="shared" ref="C12:H12" si="0">SUM(C13:C34)</f>
        <v>339690.69586115715</v>
      </c>
      <c r="D12" s="7">
        <f t="shared" si="0"/>
        <v>5304891200.8100014</v>
      </c>
      <c r="E12" s="7">
        <f t="shared" si="0"/>
        <v>146138.84101404957</v>
      </c>
      <c r="F12" s="7">
        <f t="shared" si="0"/>
        <v>5304891200.8100014</v>
      </c>
      <c r="G12" s="7">
        <f t="shared" si="0"/>
        <v>4430018016.04</v>
      </c>
      <c r="H12" s="7">
        <f t="shared" si="0"/>
        <v>874873184.7700001</v>
      </c>
    </row>
    <row r="13" spans="1:8" ht="15.75" x14ac:dyDescent="0.25">
      <c r="A13" s="8">
        <v>1</v>
      </c>
      <c r="B13" s="9" t="s">
        <v>3</v>
      </c>
      <c r="C13" s="10">
        <f>44963.35-'2020 год'!E13-3825.7-'2021'!E13</f>
        <v>31978.178864738293</v>
      </c>
      <c r="D13" s="7">
        <f>ROUND((C13*15570.66524),2)</f>
        <v>497921518.08999997</v>
      </c>
      <c r="E13" s="7">
        <f>D13/36300</f>
        <v>13716.846228374656</v>
      </c>
      <c r="F13" s="7">
        <f>G13+H13</f>
        <v>497921518.08999997</v>
      </c>
      <c r="G13" s="7">
        <f>ROUND((D13*0.84),2)</f>
        <v>418254075.19999999</v>
      </c>
      <c r="H13" s="7">
        <f>D13-G13</f>
        <v>79667442.889999986</v>
      </c>
    </row>
    <row r="14" spans="1:8" ht="15.75" x14ac:dyDescent="0.25">
      <c r="A14" s="8">
        <v>2</v>
      </c>
      <c r="B14" s="9" t="s">
        <v>4</v>
      </c>
      <c r="C14" s="10">
        <f>3448.6-'2020 год'!E14-821.2-'2021'!E14</f>
        <v>1991.9322424242423</v>
      </c>
      <c r="D14" s="7">
        <f>ROUND((C14*15570.66524),2)</f>
        <v>31015710.129999999</v>
      </c>
      <c r="E14" s="7">
        <f t="shared" ref="E14:E34" si="1">D14/36300</f>
        <v>854.42727630853994</v>
      </c>
      <c r="F14" s="7">
        <f t="shared" ref="F14:F34" si="2">G14+H14</f>
        <v>31015710.129999999</v>
      </c>
      <c r="G14" s="7">
        <f t="shared" ref="G14:G34" si="3">ROUND((D14*0.84),2)</f>
        <v>26053196.510000002</v>
      </c>
      <c r="H14" s="7">
        <f t="shared" ref="H14:H34" si="4">D14-G14</f>
        <v>4962513.6199999973</v>
      </c>
    </row>
    <row r="15" spans="1:8" ht="15.75" x14ac:dyDescent="0.25">
      <c r="A15" s="8">
        <v>3</v>
      </c>
      <c r="B15" s="9" t="s">
        <v>5</v>
      </c>
      <c r="C15" s="10">
        <f>13516.61-'2020 год'!E15-1158-'2021'!E15</f>
        <v>9606.1540597796156</v>
      </c>
      <c r="D15" s="7">
        <f>ROUND((C15*15570.66524),2)</f>
        <v>149574209.11000001</v>
      </c>
      <c r="E15" s="7">
        <f t="shared" si="1"/>
        <v>4120.5016283746563</v>
      </c>
      <c r="F15" s="7">
        <f t="shared" si="2"/>
        <v>149574209.11000001</v>
      </c>
      <c r="G15" s="7">
        <f t="shared" si="3"/>
        <v>125642335.65000001</v>
      </c>
      <c r="H15" s="7">
        <f t="shared" si="4"/>
        <v>23931873.460000008</v>
      </c>
    </row>
    <row r="16" spans="1:8" ht="15.75" x14ac:dyDescent="0.25">
      <c r="A16" s="8">
        <v>4</v>
      </c>
      <c r="B16" s="9" t="s">
        <v>6</v>
      </c>
      <c r="C16" s="10">
        <f>37934.9-'2020 год'!E16-3445.4-'2021'!E16</f>
        <v>26789.449565564741</v>
      </c>
      <c r="D16" s="7">
        <f>ROUND((C16*15570.66524),2)</f>
        <v>417129551.14999998</v>
      </c>
      <c r="E16" s="7">
        <f t="shared" si="1"/>
        <v>11491.172207988981</v>
      </c>
      <c r="F16" s="7">
        <f t="shared" si="2"/>
        <v>417129551.14999998</v>
      </c>
      <c r="G16" s="7">
        <f t="shared" si="3"/>
        <v>350388822.97000003</v>
      </c>
      <c r="H16" s="7">
        <f t="shared" si="4"/>
        <v>66740728.179999948</v>
      </c>
    </row>
    <row r="17" spans="1:8" ht="15.75" x14ac:dyDescent="0.25">
      <c r="A17" s="8">
        <v>5</v>
      </c>
      <c r="B17" s="9" t="s">
        <v>7</v>
      </c>
      <c r="C17" s="10">
        <f>31886.65-'2020 год'!E17-7183.6-'2021'!E17</f>
        <v>18775.338993939393</v>
      </c>
      <c r="D17" s="7">
        <f>ROUND((C17*15570.66524),2)</f>
        <v>292344518.24000001</v>
      </c>
      <c r="E17" s="7">
        <f t="shared" si="1"/>
        <v>8053.5679955922869</v>
      </c>
      <c r="F17" s="7">
        <f t="shared" si="2"/>
        <v>292344518.24000001</v>
      </c>
      <c r="G17" s="7">
        <f t="shared" si="3"/>
        <v>245569395.31999999</v>
      </c>
      <c r="H17" s="7">
        <f t="shared" si="4"/>
        <v>46775122.920000017</v>
      </c>
    </row>
    <row r="18" spans="1:8" ht="15.75" x14ac:dyDescent="0.25">
      <c r="A18" s="8">
        <v>6</v>
      </c>
      <c r="B18" s="9" t="s">
        <v>8</v>
      </c>
      <c r="C18" s="10">
        <f>339.5+754.3-'2021'!E18</f>
        <v>754</v>
      </c>
      <c r="D18" s="7">
        <f>E18*36368</f>
        <v>27421472</v>
      </c>
      <c r="E18" s="7">
        <v>754</v>
      </c>
      <c r="F18" s="7">
        <f t="shared" si="2"/>
        <v>27421472</v>
      </c>
      <c r="G18" s="7">
        <f t="shared" si="3"/>
        <v>23034036.48</v>
      </c>
      <c r="H18" s="7">
        <f t="shared" si="4"/>
        <v>4387435.5199999996</v>
      </c>
    </row>
    <row r="19" spans="1:8" ht="15.75" x14ac:dyDescent="0.25">
      <c r="A19" s="8">
        <v>7</v>
      </c>
      <c r="B19" s="9" t="s">
        <v>9</v>
      </c>
      <c r="C19" s="10">
        <f>68460.7-'2020 год'!E19-5849.7-'2021'!E19</f>
        <v>48668.032169146005</v>
      </c>
      <c r="D19" s="7">
        <f t="shared" ref="D19:D25" si="5">ROUND((C19*15570.66524),2)</f>
        <v>757793636.79999995</v>
      </c>
      <c r="E19" s="7">
        <f t="shared" si="1"/>
        <v>20875.857763085398</v>
      </c>
      <c r="F19" s="7">
        <f t="shared" si="2"/>
        <v>757793636.79999995</v>
      </c>
      <c r="G19" s="7">
        <f t="shared" si="3"/>
        <v>636546654.90999997</v>
      </c>
      <c r="H19" s="7">
        <f t="shared" si="4"/>
        <v>121246981.88999999</v>
      </c>
    </row>
    <row r="20" spans="1:8" ht="15.75" x14ac:dyDescent="0.25">
      <c r="A20" s="8">
        <v>8</v>
      </c>
      <c r="B20" s="9" t="s">
        <v>11</v>
      </c>
      <c r="C20" s="10">
        <f>4590.6-'2020 год'!E21-406.4-'2021'!E21</f>
        <v>3251.0585316804418</v>
      </c>
      <c r="D20" s="7">
        <f t="shared" si="5"/>
        <v>50621144.07</v>
      </c>
      <c r="E20" s="7">
        <f t="shared" si="1"/>
        <v>1394.5218752066116</v>
      </c>
      <c r="F20" s="7">
        <f t="shared" si="2"/>
        <v>50621144.07</v>
      </c>
      <c r="G20" s="7">
        <f t="shared" si="3"/>
        <v>42521761.020000003</v>
      </c>
      <c r="H20" s="7">
        <f t="shared" si="4"/>
        <v>8099383.049999997</v>
      </c>
    </row>
    <row r="21" spans="1:8" ht="15.75" x14ac:dyDescent="0.25">
      <c r="A21" s="8">
        <v>9</v>
      </c>
      <c r="B21" s="9" t="s">
        <v>12</v>
      </c>
      <c r="C21" s="10">
        <f>87542.01-'2020 год'!E22-9529.6-'2021'!E22</f>
        <v>60931.810471625329</v>
      </c>
      <c r="D21" s="7">
        <f t="shared" si="5"/>
        <v>948748823.32000005</v>
      </c>
      <c r="E21" s="7">
        <f t="shared" si="1"/>
        <v>26136.331220936641</v>
      </c>
      <c r="F21" s="7">
        <f t="shared" si="2"/>
        <v>948748823.32000005</v>
      </c>
      <c r="G21" s="7">
        <f>ROUND((D21*0.8125),2)</f>
        <v>770858418.95000005</v>
      </c>
      <c r="H21" s="7">
        <f t="shared" si="4"/>
        <v>177890404.37</v>
      </c>
    </row>
    <row r="22" spans="1:8" ht="15.75" x14ac:dyDescent="0.25">
      <c r="A22" s="8">
        <v>10</v>
      </c>
      <c r="B22" s="9" t="s">
        <v>13</v>
      </c>
      <c r="C22" s="10">
        <f>14317.3-'2020 год'!E23-1224.3-'2021'!E23</f>
        <v>10177.203690082644</v>
      </c>
      <c r="D22" s="7">
        <f t="shared" si="5"/>
        <v>158465831.74000001</v>
      </c>
      <c r="E22" s="7">
        <f t="shared" si="1"/>
        <v>4365.4499101928377</v>
      </c>
      <c r="F22" s="7">
        <f t="shared" si="2"/>
        <v>158465831.74000001</v>
      </c>
      <c r="G22" s="7">
        <f t="shared" si="3"/>
        <v>133111298.66</v>
      </c>
      <c r="H22" s="7">
        <f t="shared" si="4"/>
        <v>25354533.080000013</v>
      </c>
    </row>
    <row r="23" spans="1:8" ht="15.75" x14ac:dyDescent="0.25">
      <c r="A23" s="8">
        <v>11</v>
      </c>
      <c r="B23" s="9" t="s">
        <v>14</v>
      </c>
      <c r="C23" s="10">
        <f>8260.2-'2020 год'!E24-769.9-'2021'!E24</f>
        <v>5816.1387363636368</v>
      </c>
      <c r="D23" s="7">
        <f t="shared" si="5"/>
        <v>90561149.25</v>
      </c>
      <c r="E23" s="7">
        <f t="shared" si="1"/>
        <v>2494.7975000000001</v>
      </c>
      <c r="F23" s="7">
        <f t="shared" si="2"/>
        <v>90561149.25</v>
      </c>
      <c r="G23" s="7">
        <f t="shared" si="3"/>
        <v>76071365.370000005</v>
      </c>
      <c r="H23" s="7">
        <f t="shared" si="4"/>
        <v>14489783.879999995</v>
      </c>
    </row>
    <row r="24" spans="1:8" ht="15.75" x14ac:dyDescent="0.25">
      <c r="A24" s="8">
        <v>12</v>
      </c>
      <c r="B24" s="9" t="s">
        <v>15</v>
      </c>
      <c r="C24" s="10">
        <f>25086.13-'2020 год'!E25-2366.1-'2021'!E25</f>
        <v>17639.169125895318</v>
      </c>
      <c r="D24" s="7">
        <f t="shared" si="5"/>
        <v>274653597.56999999</v>
      </c>
      <c r="E24" s="7">
        <f t="shared" si="1"/>
        <v>7566.2148090909086</v>
      </c>
      <c r="F24" s="7">
        <f t="shared" si="2"/>
        <v>274653597.56999999</v>
      </c>
      <c r="G24" s="7">
        <f t="shared" si="3"/>
        <v>230709021.96000001</v>
      </c>
      <c r="H24" s="7">
        <f t="shared" si="4"/>
        <v>43944575.609999985</v>
      </c>
    </row>
    <row r="25" spans="1:8" ht="15.75" x14ac:dyDescent="0.25">
      <c r="A25" s="8">
        <v>13</v>
      </c>
      <c r="B25" s="9" t="s">
        <v>16</v>
      </c>
      <c r="C25" s="10">
        <f>3800.1-'2020 год'!E26-396.6-'2021'!E26</f>
        <v>2638.6903815426999</v>
      </c>
      <c r="D25" s="7">
        <f t="shared" si="5"/>
        <v>41086164.600000001</v>
      </c>
      <c r="E25" s="7">
        <f t="shared" si="1"/>
        <v>1131.8502644628099</v>
      </c>
      <c r="F25" s="7">
        <f t="shared" si="2"/>
        <v>41086164.600000001</v>
      </c>
      <c r="G25" s="7">
        <f t="shared" si="3"/>
        <v>34512378.259999998</v>
      </c>
      <c r="H25" s="7">
        <f t="shared" si="4"/>
        <v>6573786.3400000036</v>
      </c>
    </row>
    <row r="26" spans="1:8" ht="15.75" x14ac:dyDescent="0.25">
      <c r="A26" s="8">
        <v>14</v>
      </c>
      <c r="B26" s="9" t="s">
        <v>17</v>
      </c>
      <c r="C26" s="10">
        <f>97717.8-'2020 год'!E27-8114.9-'2021'!E27</f>
        <v>70748.806940771363</v>
      </c>
      <c r="D26" s="7">
        <f>ROUND((C26*15570.66524),2)-100</f>
        <v>1101605889</v>
      </c>
      <c r="E26" s="7">
        <f t="shared" si="1"/>
        <v>30347.269669421486</v>
      </c>
      <c r="F26" s="7">
        <f t="shared" si="2"/>
        <v>1101605889</v>
      </c>
      <c r="G26" s="7">
        <f t="shared" si="3"/>
        <v>925348946.75999999</v>
      </c>
      <c r="H26" s="7">
        <f t="shared" si="4"/>
        <v>176256942.24000001</v>
      </c>
    </row>
    <row r="27" spans="1:8" ht="15.75" x14ac:dyDescent="0.25">
      <c r="A27" s="8">
        <v>15</v>
      </c>
      <c r="B27" s="9" t="s">
        <v>18</v>
      </c>
      <c r="C27" s="10">
        <f>4796.35-'2020 год'!E28-637.11-'2021'!E28</f>
        <v>3211.2693950413227</v>
      </c>
      <c r="D27" s="7">
        <f t="shared" ref="D27:D34" si="6">ROUND((C27*15570.66524),2)</f>
        <v>50001600.75</v>
      </c>
      <c r="E27" s="7">
        <f t="shared" si="1"/>
        <v>1377.4545661157024</v>
      </c>
      <c r="F27" s="7">
        <f t="shared" si="2"/>
        <v>50001600.75</v>
      </c>
      <c r="G27" s="7">
        <f t="shared" si="3"/>
        <v>42001344.630000003</v>
      </c>
      <c r="H27" s="7">
        <f t="shared" si="4"/>
        <v>8000256.1199999973</v>
      </c>
    </row>
    <row r="28" spans="1:8" ht="15.75" x14ac:dyDescent="0.25">
      <c r="A28" s="8">
        <v>16</v>
      </c>
      <c r="B28" s="9" t="s">
        <v>19</v>
      </c>
      <c r="C28" s="10">
        <f>2246.67-'2020 год'!E29-232.77-'2021'!E29</f>
        <v>1561.5176911845731</v>
      </c>
      <c r="D28" s="7">
        <f t="shared" si="6"/>
        <v>24313869.239999998</v>
      </c>
      <c r="E28" s="7">
        <f t="shared" si="1"/>
        <v>669.80356033057842</v>
      </c>
      <c r="F28" s="7">
        <f t="shared" si="2"/>
        <v>24313869.239999998</v>
      </c>
      <c r="G28" s="7">
        <f t="shared" si="3"/>
        <v>20423650.16</v>
      </c>
      <c r="H28" s="7">
        <f t="shared" si="4"/>
        <v>3890219.0799999982</v>
      </c>
    </row>
    <row r="29" spans="1:8" ht="15.75" x14ac:dyDescent="0.25">
      <c r="A29" s="8">
        <v>17</v>
      </c>
      <c r="B29" s="9" t="s">
        <v>21</v>
      </c>
      <c r="C29" s="10">
        <f>4396.2-'2020 год'!E31-564.5-'2021'!E30</f>
        <v>2960.3449856749312</v>
      </c>
      <c r="D29" s="7">
        <f t="shared" si="6"/>
        <v>46094540.770000003</v>
      </c>
      <c r="E29" s="7">
        <f t="shared" si="1"/>
        <v>1269.8220597796144</v>
      </c>
      <c r="F29" s="7">
        <f t="shared" si="2"/>
        <v>46094540.770000003</v>
      </c>
      <c r="G29" s="7">
        <f t="shared" si="3"/>
        <v>38719414.25</v>
      </c>
      <c r="H29" s="7">
        <f t="shared" si="4"/>
        <v>7375126.5200000033</v>
      </c>
    </row>
    <row r="30" spans="1:8" ht="15.75" x14ac:dyDescent="0.25">
      <c r="A30" s="8">
        <v>18</v>
      </c>
      <c r="B30" s="9" t="s">
        <v>22</v>
      </c>
      <c r="C30" s="10">
        <f>2015.5-'2020 год'!E32-258.6-'2021'!E31</f>
        <v>1357.3891953168045</v>
      </c>
      <c r="D30" s="7">
        <f t="shared" si="6"/>
        <v>21135452.760000002</v>
      </c>
      <c r="E30" s="7">
        <f t="shared" si="1"/>
        <v>582.24387768595045</v>
      </c>
      <c r="F30" s="7">
        <f t="shared" si="2"/>
        <v>21135452.760000002</v>
      </c>
      <c r="G30" s="7">
        <f t="shared" si="3"/>
        <v>17753780.32</v>
      </c>
      <c r="H30" s="7">
        <f t="shared" si="4"/>
        <v>3381672.4400000013</v>
      </c>
    </row>
    <row r="31" spans="1:8" ht="15.75" x14ac:dyDescent="0.25">
      <c r="A31" s="8">
        <v>19</v>
      </c>
      <c r="B31" s="9" t="s">
        <v>23</v>
      </c>
      <c r="C31" s="10">
        <f>2717.16-'2020 год'!E33-192.9-'2021'!E32</f>
        <v>1965.88408953168</v>
      </c>
      <c r="D31" s="7">
        <f t="shared" si="6"/>
        <v>30610123.059999999</v>
      </c>
      <c r="E31" s="7">
        <f t="shared" si="1"/>
        <v>843.25407878787871</v>
      </c>
      <c r="F31" s="7">
        <f t="shared" si="2"/>
        <v>30610123.059999999</v>
      </c>
      <c r="G31" s="7">
        <f t="shared" si="3"/>
        <v>25712503.370000001</v>
      </c>
      <c r="H31" s="7">
        <f t="shared" si="4"/>
        <v>4897619.6899999976</v>
      </c>
    </row>
    <row r="32" spans="1:8" ht="15.75" x14ac:dyDescent="0.25">
      <c r="A32" s="8">
        <v>20</v>
      </c>
      <c r="B32" s="9" t="s">
        <v>24</v>
      </c>
      <c r="C32" s="10">
        <f>15257.4-'2020 год'!E34-1277.1-'2021'!E33</f>
        <v>10869.542353168043</v>
      </c>
      <c r="D32" s="7">
        <f t="shared" si="6"/>
        <v>169246005.28999999</v>
      </c>
      <c r="E32" s="7">
        <f t="shared" si="1"/>
        <v>4662.4243881542698</v>
      </c>
      <c r="F32" s="7">
        <f t="shared" si="2"/>
        <v>169246005.28999999</v>
      </c>
      <c r="G32" s="7">
        <f t="shared" si="3"/>
        <v>142166644.44</v>
      </c>
      <c r="H32" s="7">
        <f t="shared" si="4"/>
        <v>27079360.849999994</v>
      </c>
    </row>
    <row r="33" spans="1:8" ht="15.75" x14ac:dyDescent="0.25">
      <c r="A33" s="8">
        <v>21</v>
      </c>
      <c r="B33" s="9" t="s">
        <v>25</v>
      </c>
      <c r="C33" s="10">
        <f>8229.99-'2020 год'!E35-695.1-'2021'!E34</f>
        <v>5857.7071914600547</v>
      </c>
      <c r="D33" s="7">
        <f t="shared" si="6"/>
        <v>91208397.75</v>
      </c>
      <c r="E33" s="7">
        <f t="shared" si="1"/>
        <v>2512.6280371900825</v>
      </c>
      <c r="F33" s="7">
        <f t="shared" si="2"/>
        <v>91208397.75</v>
      </c>
      <c r="G33" s="7">
        <f t="shared" si="3"/>
        <v>76615054.109999999</v>
      </c>
      <c r="H33" s="7">
        <f t="shared" si="4"/>
        <v>14593343.640000001</v>
      </c>
    </row>
    <row r="34" spans="1:8" ht="15.75" x14ac:dyDescent="0.25">
      <c r="A34" s="8">
        <v>22</v>
      </c>
      <c r="B34" s="9" t="s">
        <v>28</v>
      </c>
      <c r="C34" s="10">
        <f>3018.44-'2020 год'!E38-263.3-'2021'!E36</f>
        <v>2141.0771862258953</v>
      </c>
      <c r="D34" s="7">
        <f t="shared" si="6"/>
        <v>33337996.120000001</v>
      </c>
      <c r="E34" s="7">
        <f t="shared" si="1"/>
        <v>918.40209696969703</v>
      </c>
      <c r="F34" s="7">
        <f t="shared" si="2"/>
        <v>33337996.120000001</v>
      </c>
      <c r="G34" s="7">
        <f t="shared" si="3"/>
        <v>28003916.739999998</v>
      </c>
      <c r="H34" s="7">
        <f t="shared" si="4"/>
        <v>5334079.3800000027</v>
      </c>
    </row>
  </sheetData>
  <sheetProtection algorithmName="SHA-512" hashValue="RxZsHL9mHv9LfyVNEuv+VpSdevqwxLGjPbOFxVTG3lHyEpUPlJq0qkngjso9H42VoIV7WryQyHWCsMAs61n9Ng==" saltValue="l7clKi3l3++FGUeTIKLx7g==" spinCount="100000" sheet="1" formatCells="0" formatColumns="0" formatRows="0" insertColumns="0" insertRows="0" insertHyperlinks="0" deleteColumns="0" deleteRows="0" sort="0" autoFilter="0" pivotTables="0"/>
  <mergeCells count="9">
    <mergeCell ref="A2:H2"/>
    <mergeCell ref="A8:A11"/>
    <mergeCell ref="B8:B11"/>
    <mergeCell ref="C8:C11"/>
    <mergeCell ref="E8:E10"/>
    <mergeCell ref="F8:F10"/>
    <mergeCell ref="G8:H8"/>
    <mergeCell ref="G9:G10"/>
    <mergeCell ref="H9:H10"/>
  </mergeCells>
  <pageMargins left="0.31496062992125984" right="0.31496062992125984" top="0.74803149606299213" bottom="0.74803149606299213" header="0.31496062992125984" footer="0.31496062992125984"/>
  <pageSetup paperSize="9" scale="92" fitToHeight="1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66EB3-ED68-4AE6-B645-5A05D881EAFF}">
  <sheetPr>
    <pageSetUpPr fitToPage="1"/>
  </sheetPr>
  <dimension ref="A2:H33"/>
  <sheetViews>
    <sheetView workbookViewId="0">
      <selection activeCell="H20" sqref="H20"/>
    </sheetView>
  </sheetViews>
  <sheetFormatPr defaultRowHeight="15" x14ac:dyDescent="0.25"/>
  <cols>
    <col min="1" max="1" width="3.28515625" style="1" bestFit="1" customWidth="1"/>
    <col min="2" max="2" width="23.28515625" style="1" bestFit="1" customWidth="1"/>
    <col min="3" max="3" width="19.7109375" style="1" hidden="1" customWidth="1"/>
    <col min="4" max="4" width="24.5703125" style="1" hidden="1" customWidth="1"/>
    <col min="5" max="5" width="19.140625" style="1" customWidth="1"/>
    <col min="6" max="6" width="19.42578125" style="1" customWidth="1"/>
    <col min="7" max="7" width="20.42578125" style="1" customWidth="1"/>
    <col min="8" max="8" width="19.7109375" style="1" customWidth="1"/>
    <col min="9" max="16384" width="9.140625" style="1"/>
  </cols>
  <sheetData>
    <row r="2" spans="1:8" ht="43.5" customHeight="1" x14ac:dyDescent="0.3">
      <c r="A2" s="13" t="s">
        <v>41</v>
      </c>
      <c r="B2" s="13"/>
      <c r="C2" s="13"/>
      <c r="D2" s="13"/>
      <c r="E2" s="13"/>
      <c r="F2" s="13"/>
      <c r="G2" s="13"/>
      <c r="H2" s="13"/>
    </row>
    <row r="4" spans="1:8" hidden="1" x14ac:dyDescent="0.25"/>
    <row r="5" spans="1:8" hidden="1" x14ac:dyDescent="0.25">
      <c r="D5" s="1">
        <v>27408.113990000002</v>
      </c>
      <c r="E5" s="1">
        <f>F7/36368</f>
        <v>145867.00670919489</v>
      </c>
      <c r="F5" s="1">
        <f>(E7+E6)/36368</f>
        <v>145867.00670919489</v>
      </c>
    </row>
    <row r="6" spans="1:8" hidden="1" x14ac:dyDescent="0.25">
      <c r="D6" s="1">
        <f>E7/F7*100</f>
        <v>14.440069676828251</v>
      </c>
      <c r="E6" s="2">
        <v>4538861300</v>
      </c>
      <c r="F6" s="1">
        <f>F7/C12</f>
        <v>27408.113986768538</v>
      </c>
    </row>
    <row r="7" spans="1:8" hidden="1" x14ac:dyDescent="0.25">
      <c r="C7" s="12" t="e">
        <f>C12-#REF!</f>
        <v>#REF!</v>
      </c>
      <c r="E7" s="2">
        <v>766030000</v>
      </c>
      <c r="F7" s="2">
        <f>E6+E7</f>
        <v>5304891300</v>
      </c>
      <c r="G7" s="2"/>
    </row>
    <row r="8" spans="1:8" ht="23.25" customHeight="1" x14ac:dyDescent="0.25">
      <c r="A8" s="14" t="s">
        <v>0</v>
      </c>
      <c r="B8" s="17" t="s">
        <v>1</v>
      </c>
      <c r="C8" s="17" t="s">
        <v>30</v>
      </c>
      <c r="D8" s="3"/>
      <c r="E8" s="18" t="s">
        <v>31</v>
      </c>
      <c r="F8" s="18" t="s">
        <v>34</v>
      </c>
      <c r="G8" s="21" t="s">
        <v>35</v>
      </c>
      <c r="H8" s="22"/>
    </row>
    <row r="9" spans="1:8" x14ac:dyDescent="0.25">
      <c r="A9" s="15"/>
      <c r="B9" s="17"/>
      <c r="C9" s="17"/>
      <c r="D9" s="3"/>
      <c r="E9" s="19"/>
      <c r="F9" s="19"/>
      <c r="G9" s="18" t="s">
        <v>36</v>
      </c>
      <c r="H9" s="18" t="s">
        <v>37</v>
      </c>
    </row>
    <row r="10" spans="1:8" ht="45" customHeight="1" x14ac:dyDescent="0.25">
      <c r="A10" s="15"/>
      <c r="B10" s="17"/>
      <c r="C10" s="17"/>
      <c r="D10" s="3"/>
      <c r="E10" s="19"/>
      <c r="F10" s="20"/>
      <c r="G10" s="20"/>
      <c r="H10" s="20"/>
    </row>
    <row r="11" spans="1:8" x14ac:dyDescent="0.25">
      <c r="A11" s="16"/>
      <c r="B11" s="17"/>
      <c r="C11" s="17"/>
      <c r="D11" s="3"/>
      <c r="E11" s="11" t="s">
        <v>32</v>
      </c>
      <c r="F11" s="11" t="s">
        <v>33</v>
      </c>
      <c r="G11" s="11" t="s">
        <v>33</v>
      </c>
      <c r="H11" s="11" t="s">
        <v>33</v>
      </c>
    </row>
    <row r="12" spans="1:8" x14ac:dyDescent="0.25">
      <c r="A12" s="4"/>
      <c r="B12" s="5" t="s">
        <v>2</v>
      </c>
      <c r="C12" s="6">
        <f t="shared" ref="C12:H12" si="0">SUM(C13:C33)</f>
        <v>193551.85484710746</v>
      </c>
      <c r="D12" s="7">
        <f t="shared" si="0"/>
        <v>5304891200.6300011</v>
      </c>
      <c r="E12" s="7">
        <f t="shared" si="0"/>
        <v>146140.2534608815</v>
      </c>
      <c r="F12" s="7">
        <f t="shared" si="0"/>
        <v>5304891200.6300011</v>
      </c>
      <c r="G12" s="7">
        <f t="shared" si="0"/>
        <v>4429882450.8400002</v>
      </c>
      <c r="H12" s="7">
        <f t="shared" si="0"/>
        <v>875008749.78999996</v>
      </c>
    </row>
    <row r="13" spans="1:8" ht="15.75" x14ac:dyDescent="0.25">
      <c r="A13" s="8">
        <v>1</v>
      </c>
      <c r="B13" s="9" t="s">
        <v>3</v>
      </c>
      <c r="C13" s="10">
        <f>44963.35-'2020 год'!E13-3825.7-'2021'!E13-'2022'!E13</f>
        <v>18261.332636363637</v>
      </c>
      <c r="D13" s="7">
        <f t="shared" ref="D13:D24" si="1">ROUND((C13*27408.11399),2)</f>
        <v>500508686.50999999</v>
      </c>
      <c r="E13" s="7">
        <f>D13/36300</f>
        <v>13788.118085674931</v>
      </c>
      <c r="F13" s="7">
        <f>G13+H13</f>
        <v>500508686.50999999</v>
      </c>
      <c r="G13" s="7">
        <f>ROUND((D13*0.84),2)</f>
        <v>420427296.67000002</v>
      </c>
      <c r="H13" s="7">
        <f>D13-G13</f>
        <v>80081389.839999974</v>
      </c>
    </row>
    <row r="14" spans="1:8" ht="15.75" x14ac:dyDescent="0.25">
      <c r="A14" s="8">
        <v>2</v>
      </c>
      <c r="B14" s="9" t="s">
        <v>4</v>
      </c>
      <c r="C14" s="10">
        <f>3448.6-'2020 год'!E14-821.2-'2021'!E14-'2022'!E14</f>
        <v>1137.5049661157022</v>
      </c>
      <c r="D14" s="7">
        <f t="shared" si="1"/>
        <v>31176865.780000001</v>
      </c>
      <c r="E14" s="7">
        <f t="shared" ref="E14:E33" si="2">D14/36300</f>
        <v>858.86682589531688</v>
      </c>
      <c r="F14" s="7">
        <f t="shared" ref="F14:F33" si="3">G14+H14</f>
        <v>31176865.780000001</v>
      </c>
      <c r="G14" s="7">
        <f t="shared" ref="G14:G33" si="4">ROUND((D14*0.84),2)</f>
        <v>26188567.260000002</v>
      </c>
      <c r="H14" s="7">
        <f t="shared" ref="H14:H33" si="5">D14-G14</f>
        <v>4988298.5199999996</v>
      </c>
    </row>
    <row r="15" spans="1:8" ht="15.75" x14ac:dyDescent="0.25">
      <c r="A15" s="8">
        <v>3</v>
      </c>
      <c r="B15" s="9" t="s">
        <v>5</v>
      </c>
      <c r="C15" s="10">
        <f>13516.61-'2020 год'!E15-1158-'2021'!E15-'2022'!E15</f>
        <v>5485.6524314049593</v>
      </c>
      <c r="D15" s="7">
        <f t="shared" si="1"/>
        <v>150351387.15000001</v>
      </c>
      <c r="E15" s="7">
        <f t="shared" si="2"/>
        <v>4141.9114917355373</v>
      </c>
      <c r="F15" s="7">
        <f t="shared" si="3"/>
        <v>150351387.15000001</v>
      </c>
      <c r="G15" s="7">
        <f t="shared" si="4"/>
        <v>126295165.20999999</v>
      </c>
      <c r="H15" s="7">
        <f t="shared" si="5"/>
        <v>24056221.940000013</v>
      </c>
    </row>
    <row r="16" spans="1:8" ht="15.75" x14ac:dyDescent="0.25">
      <c r="A16" s="8">
        <v>4</v>
      </c>
      <c r="B16" s="9" t="s">
        <v>6</v>
      </c>
      <c r="C16" s="10">
        <f>37934.9-'2020 год'!E16-3445.4-'2021'!E16-'2022'!E16</f>
        <v>15298.27735757576</v>
      </c>
      <c r="D16" s="7">
        <f t="shared" si="1"/>
        <v>419296929.67000002</v>
      </c>
      <c r="E16" s="7">
        <f t="shared" si="2"/>
        <v>11550.87960523416</v>
      </c>
      <c r="F16" s="7">
        <f t="shared" si="3"/>
        <v>419296929.67000002</v>
      </c>
      <c r="G16" s="7">
        <f t="shared" si="4"/>
        <v>352209420.92000002</v>
      </c>
      <c r="H16" s="7">
        <f t="shared" si="5"/>
        <v>67087508.75</v>
      </c>
    </row>
    <row r="17" spans="1:8" ht="15.75" x14ac:dyDescent="0.25">
      <c r="A17" s="8">
        <v>5</v>
      </c>
      <c r="B17" s="9" t="s">
        <v>7</v>
      </c>
      <c r="C17" s="10">
        <f>31886.65-'2020 год'!E17-7183.6-'2021'!E17-'2022'!E17</f>
        <v>10721.770998347107</v>
      </c>
      <c r="D17" s="7">
        <f t="shared" si="1"/>
        <v>293863521.69999999</v>
      </c>
      <c r="E17" s="7">
        <f t="shared" si="2"/>
        <v>8095.4138209366392</v>
      </c>
      <c r="F17" s="7">
        <f t="shared" si="3"/>
        <v>293863521.69999999</v>
      </c>
      <c r="G17" s="7">
        <f t="shared" si="4"/>
        <v>246845358.22999999</v>
      </c>
      <c r="H17" s="7">
        <f t="shared" si="5"/>
        <v>47018163.469999999</v>
      </c>
    </row>
    <row r="18" spans="1:8" ht="15.75" x14ac:dyDescent="0.25">
      <c r="A18" s="8">
        <v>7</v>
      </c>
      <c r="B18" s="9" t="s">
        <v>9</v>
      </c>
      <c r="C18" s="10">
        <f>68460.7-'2020 год'!E19-5849.7-'2021'!E19-'2022'!E19</f>
        <v>27792.174406060607</v>
      </c>
      <c r="D18" s="7">
        <f t="shared" si="1"/>
        <v>761731084.14999998</v>
      </c>
      <c r="E18" s="7">
        <f t="shared" si="2"/>
        <v>20984.327387052341</v>
      </c>
      <c r="F18" s="7">
        <f t="shared" si="3"/>
        <v>761731084.14999998</v>
      </c>
      <c r="G18" s="7">
        <f t="shared" si="4"/>
        <v>639854110.69000006</v>
      </c>
      <c r="H18" s="7">
        <f t="shared" si="5"/>
        <v>121876973.45999992</v>
      </c>
    </row>
    <row r="19" spans="1:8" ht="15.75" x14ac:dyDescent="0.25">
      <c r="A19" s="8">
        <v>8</v>
      </c>
      <c r="B19" s="9" t="s">
        <v>11</v>
      </c>
      <c r="C19" s="10">
        <f>4590.6-'2020 год'!E21-406.4-'2021'!E21-'2022'!E20</f>
        <v>1856.5366564738301</v>
      </c>
      <c r="D19" s="7">
        <f t="shared" si="1"/>
        <v>50884168.310000002</v>
      </c>
      <c r="E19" s="7">
        <f t="shared" si="2"/>
        <v>1401.7677220385676</v>
      </c>
      <c r="F19" s="7">
        <f t="shared" si="3"/>
        <v>50884168.310000002</v>
      </c>
      <c r="G19" s="7">
        <f t="shared" si="4"/>
        <v>42742701.380000003</v>
      </c>
      <c r="H19" s="7">
        <f t="shared" si="5"/>
        <v>8141466.9299999997</v>
      </c>
    </row>
    <row r="20" spans="1:8" ht="15.75" x14ac:dyDescent="0.25">
      <c r="A20" s="8">
        <v>9</v>
      </c>
      <c r="B20" s="9" t="s">
        <v>12</v>
      </c>
      <c r="C20" s="10">
        <f>87542.01-'2020 год'!E22-9529.6-'2021'!E22-'2022'!E21</f>
        <v>34795.479250688688</v>
      </c>
      <c r="D20" s="7">
        <f t="shared" si="1"/>
        <v>953678461.63999999</v>
      </c>
      <c r="E20" s="7">
        <f t="shared" si="2"/>
        <v>26272.133929476582</v>
      </c>
      <c r="F20" s="7">
        <f t="shared" si="3"/>
        <v>953678461.63999999</v>
      </c>
      <c r="G20" s="7">
        <f>ROUND((D20*0.8125),2)</f>
        <v>774863750.08000004</v>
      </c>
      <c r="H20" s="7">
        <f t="shared" si="5"/>
        <v>178814711.55999994</v>
      </c>
    </row>
    <row r="21" spans="1:8" ht="15.75" x14ac:dyDescent="0.25">
      <c r="A21" s="8">
        <v>10</v>
      </c>
      <c r="B21" s="9" t="s">
        <v>13</v>
      </c>
      <c r="C21" s="10">
        <f>14317.3-'2020 год'!E23-1224.3-'2021'!E23-'2022'!E22</f>
        <v>5811.7537798898065</v>
      </c>
      <c r="D21" s="7">
        <f t="shared" si="1"/>
        <v>159289210.08000001</v>
      </c>
      <c r="E21" s="7">
        <f t="shared" si="2"/>
        <v>4388.1325090909095</v>
      </c>
      <c r="F21" s="7">
        <f t="shared" si="3"/>
        <v>159289210.08000001</v>
      </c>
      <c r="G21" s="7">
        <f t="shared" si="4"/>
        <v>133802936.47</v>
      </c>
      <c r="H21" s="7">
        <f t="shared" si="5"/>
        <v>25486273.610000014</v>
      </c>
    </row>
    <row r="22" spans="1:8" ht="15.75" x14ac:dyDescent="0.25">
      <c r="A22" s="8">
        <v>11</v>
      </c>
      <c r="B22" s="9" t="s">
        <v>14</v>
      </c>
      <c r="C22" s="10">
        <f>8260.2-'2020 год'!E24-769.9-'2021'!E24-'2022'!E23</f>
        <v>3321.3412363636367</v>
      </c>
      <c r="D22" s="7">
        <f t="shared" si="1"/>
        <v>91031699.209999993</v>
      </c>
      <c r="E22" s="7">
        <f t="shared" si="2"/>
        <v>2507.7603088154269</v>
      </c>
      <c r="F22" s="7">
        <f t="shared" si="3"/>
        <v>91031699.209999993</v>
      </c>
      <c r="G22" s="7">
        <f t="shared" si="4"/>
        <v>76466627.340000004</v>
      </c>
      <c r="H22" s="7">
        <f t="shared" si="5"/>
        <v>14565071.86999999</v>
      </c>
    </row>
    <row r="23" spans="1:8" ht="15.75" x14ac:dyDescent="0.25">
      <c r="A23" s="8">
        <v>12</v>
      </c>
      <c r="B23" s="9" t="s">
        <v>15</v>
      </c>
      <c r="C23" s="10">
        <f>25086.13-'2020 год'!E25-2366.1-'2021'!E25-'2022'!E24</f>
        <v>10072.954316804409</v>
      </c>
      <c r="D23" s="7">
        <f t="shared" si="1"/>
        <v>276080680.13</v>
      </c>
      <c r="E23" s="7">
        <f t="shared" si="2"/>
        <v>7605.5283782369143</v>
      </c>
      <c r="F23" s="7">
        <f t="shared" si="3"/>
        <v>276080680.13</v>
      </c>
      <c r="G23" s="7">
        <f t="shared" si="4"/>
        <v>231907771.31</v>
      </c>
      <c r="H23" s="7">
        <f t="shared" si="5"/>
        <v>44172908.819999993</v>
      </c>
    </row>
    <row r="24" spans="1:8" ht="15.75" x14ac:dyDescent="0.25">
      <c r="A24" s="8">
        <v>13</v>
      </c>
      <c r="B24" s="9" t="s">
        <v>16</v>
      </c>
      <c r="C24" s="10">
        <f>3800.1-'2020 год'!E26-396.6-'2021'!E26-'2022'!E25</f>
        <v>1506.84011707989</v>
      </c>
      <c r="D24" s="7">
        <f t="shared" si="1"/>
        <v>41299645.689999998</v>
      </c>
      <c r="E24" s="7">
        <f t="shared" si="2"/>
        <v>1137.7312862258952</v>
      </c>
      <c r="F24" s="7">
        <f t="shared" si="3"/>
        <v>41299645.689999998</v>
      </c>
      <c r="G24" s="7">
        <f t="shared" si="4"/>
        <v>34691702.380000003</v>
      </c>
      <c r="H24" s="7">
        <f t="shared" si="5"/>
        <v>6607943.3099999949</v>
      </c>
    </row>
    <row r="25" spans="1:8" ht="15.75" x14ac:dyDescent="0.25">
      <c r="A25" s="8">
        <v>14</v>
      </c>
      <c r="B25" s="9" t="s">
        <v>17</v>
      </c>
      <c r="C25" s="10">
        <f>97717.8-'2020 год'!E27-8114.9-'2021'!E27-'2022'!E26</f>
        <v>40401.53727134988</v>
      </c>
      <c r="D25" s="7">
        <f>ROUND((C25*27408.11399),2)-100</f>
        <v>1107329838.9000001</v>
      </c>
      <c r="E25" s="7">
        <f t="shared" si="2"/>
        <v>30504.954239669423</v>
      </c>
      <c r="F25" s="7">
        <f t="shared" si="3"/>
        <v>1107329838.9000001</v>
      </c>
      <c r="G25" s="7">
        <f t="shared" si="4"/>
        <v>930157064.67999995</v>
      </c>
      <c r="H25" s="7">
        <f t="shared" si="5"/>
        <v>177172774.22000015</v>
      </c>
    </row>
    <row r="26" spans="1:8" ht="15.75" x14ac:dyDescent="0.25">
      <c r="A26" s="8">
        <v>15</v>
      </c>
      <c r="B26" s="9" t="s">
        <v>18</v>
      </c>
      <c r="C26" s="10">
        <f>4796.35-'2020 год'!E28-637.11-'2021'!E28-'2022'!E27</f>
        <v>1833.8148289256203</v>
      </c>
      <c r="D26" s="7">
        <f t="shared" ref="D26:D33" si="6">ROUND((C26*27408.11399),2)</f>
        <v>50261405.869999997</v>
      </c>
      <c r="E26" s="7">
        <f t="shared" si="2"/>
        <v>1384.6117319559228</v>
      </c>
      <c r="F26" s="7">
        <f t="shared" si="3"/>
        <v>50261405.869999997</v>
      </c>
      <c r="G26" s="7">
        <f t="shared" si="4"/>
        <v>42219580.93</v>
      </c>
      <c r="H26" s="7">
        <f t="shared" si="5"/>
        <v>8041824.9399999976</v>
      </c>
    </row>
    <row r="27" spans="1:8" ht="15.75" x14ac:dyDescent="0.25">
      <c r="A27" s="8">
        <v>16</v>
      </c>
      <c r="B27" s="9" t="s">
        <v>19</v>
      </c>
      <c r="C27" s="10">
        <f>2246.67-'2020 год'!E29-232.77-'2021'!E29-'2022'!E28</f>
        <v>891.71413085399467</v>
      </c>
      <c r="D27" s="7">
        <f t="shared" si="6"/>
        <v>24440202.539999999</v>
      </c>
      <c r="E27" s="7">
        <f t="shared" si="2"/>
        <v>673.28381652892563</v>
      </c>
      <c r="F27" s="7">
        <f t="shared" si="3"/>
        <v>24440202.539999999</v>
      </c>
      <c r="G27" s="7">
        <f t="shared" si="4"/>
        <v>20529770.129999999</v>
      </c>
      <c r="H27" s="7">
        <f t="shared" si="5"/>
        <v>3910432.41</v>
      </c>
    </row>
    <row r="28" spans="1:8" ht="15.75" x14ac:dyDescent="0.25">
      <c r="A28" s="8">
        <v>17</v>
      </c>
      <c r="B28" s="9" t="s">
        <v>21</v>
      </c>
      <c r="C28" s="10">
        <f>4396.2-'2020 год'!E31-564.5-'2021'!E30-'2022'!E29</f>
        <v>1690.5229258953168</v>
      </c>
      <c r="D28" s="7">
        <f t="shared" si="6"/>
        <v>46334045.060000002</v>
      </c>
      <c r="E28" s="7">
        <f t="shared" si="2"/>
        <v>1276.4199741046832</v>
      </c>
      <c r="F28" s="7">
        <f t="shared" si="3"/>
        <v>46334045.060000002</v>
      </c>
      <c r="G28" s="7">
        <f t="shared" si="4"/>
        <v>38920597.850000001</v>
      </c>
      <c r="H28" s="7">
        <f t="shared" si="5"/>
        <v>7413447.2100000009</v>
      </c>
    </row>
    <row r="29" spans="1:8" ht="15.75" x14ac:dyDescent="0.25">
      <c r="A29" s="8">
        <v>18</v>
      </c>
      <c r="B29" s="9" t="s">
        <v>22</v>
      </c>
      <c r="C29" s="10">
        <f>2015.5-'2020 год'!E32-258.6-'2021'!E31-'2022'!E30</f>
        <v>775.14531763085404</v>
      </c>
      <c r="D29" s="7">
        <f t="shared" si="6"/>
        <v>21245271.219999999</v>
      </c>
      <c r="E29" s="7">
        <f t="shared" si="2"/>
        <v>585.26917961432503</v>
      </c>
      <c r="F29" s="7">
        <f t="shared" si="3"/>
        <v>21245271.219999999</v>
      </c>
      <c r="G29" s="7">
        <f t="shared" si="4"/>
        <v>17846027.82</v>
      </c>
      <c r="H29" s="7">
        <f t="shared" si="5"/>
        <v>3399243.3999999985</v>
      </c>
    </row>
    <row r="30" spans="1:8" ht="15.75" x14ac:dyDescent="0.25">
      <c r="A30" s="8">
        <v>19</v>
      </c>
      <c r="B30" s="9" t="s">
        <v>23</v>
      </c>
      <c r="C30" s="10">
        <f>2717.16-'2020 год'!E33-192.9-'2021'!E32-'2022'!E31</f>
        <v>1122.6300107438014</v>
      </c>
      <c r="D30" s="7">
        <f t="shared" si="6"/>
        <v>30769171.300000001</v>
      </c>
      <c r="E30" s="7">
        <f t="shared" si="2"/>
        <v>847.63557300275488</v>
      </c>
      <c r="F30" s="7">
        <f t="shared" si="3"/>
        <v>30769171.300000001</v>
      </c>
      <c r="G30" s="7">
        <f t="shared" si="4"/>
        <v>25846103.890000001</v>
      </c>
      <c r="H30" s="7">
        <f t="shared" si="5"/>
        <v>4923067.41</v>
      </c>
    </row>
    <row r="31" spans="1:8" ht="15.75" x14ac:dyDescent="0.25">
      <c r="A31" s="8">
        <v>20</v>
      </c>
      <c r="B31" s="9" t="s">
        <v>24</v>
      </c>
      <c r="C31" s="10">
        <f>15257.4-'2020 год'!E34-1277.1-'2021'!E33-'2022'!E32</f>
        <v>6207.1179650137728</v>
      </c>
      <c r="D31" s="7">
        <f t="shared" si="6"/>
        <v>170125396.72999999</v>
      </c>
      <c r="E31" s="7">
        <f t="shared" si="2"/>
        <v>4686.6500476584015</v>
      </c>
      <c r="F31" s="7">
        <f t="shared" si="3"/>
        <v>170125396.72999999</v>
      </c>
      <c r="G31" s="7">
        <f t="shared" si="4"/>
        <v>142905333.25</v>
      </c>
      <c r="H31" s="7">
        <f t="shared" si="5"/>
        <v>27220063.479999989</v>
      </c>
    </row>
    <row r="32" spans="1:8" ht="15.75" x14ac:dyDescent="0.25">
      <c r="A32" s="8">
        <v>21</v>
      </c>
      <c r="B32" s="9" t="s">
        <v>25</v>
      </c>
      <c r="C32" s="10">
        <f>8229.99-'2020 год'!E35-695.1-'2021'!E34-'2022'!E33</f>
        <v>3345.0791542699722</v>
      </c>
      <c r="D32" s="7">
        <f t="shared" si="6"/>
        <v>91682310.769999996</v>
      </c>
      <c r="E32" s="7">
        <f t="shared" si="2"/>
        <v>2525.6834922865014</v>
      </c>
      <c r="F32" s="7">
        <f t="shared" si="3"/>
        <v>91682310.769999996</v>
      </c>
      <c r="G32" s="7">
        <f t="shared" si="4"/>
        <v>77013141.049999997</v>
      </c>
      <c r="H32" s="7">
        <f t="shared" si="5"/>
        <v>14669169.719999999</v>
      </c>
    </row>
    <row r="33" spans="1:8" ht="15.75" x14ac:dyDescent="0.25">
      <c r="A33" s="8">
        <v>22</v>
      </c>
      <c r="B33" s="9" t="s">
        <v>28</v>
      </c>
      <c r="C33" s="10">
        <f>3018.44-'2020 год'!E38-263.3-'2021'!E36-'2022'!E34</f>
        <v>1222.6750892561981</v>
      </c>
      <c r="D33" s="7">
        <f t="shared" si="6"/>
        <v>33511218.219999999</v>
      </c>
      <c r="E33" s="7">
        <f t="shared" si="2"/>
        <v>923.17405564738294</v>
      </c>
      <c r="F33" s="7">
        <f t="shared" si="3"/>
        <v>33511218.219999999</v>
      </c>
      <c r="G33" s="7">
        <f t="shared" si="4"/>
        <v>28149423.300000001</v>
      </c>
      <c r="H33" s="7">
        <f t="shared" si="5"/>
        <v>5361794.9199999981</v>
      </c>
    </row>
  </sheetData>
  <sheetProtection algorithmName="SHA-512" hashValue="WKzcEQ8/dT2LQ0AcM+E8vhs1gpQjNoSSRYjc5PNlylZ7vIA9mXRR+W2dpH37w3NDnQaEatenngylj34aSvAVYA==" saltValue="07w7NYD6XAzWXN2xkgdh5g==" spinCount="100000" sheet="1" formatCells="0" formatColumns="0" formatRows="0" insertColumns="0" insertRows="0" insertHyperlinks="0" deleteColumns="0" deleteRows="0" sort="0" autoFilter="0" pivotTables="0"/>
  <mergeCells count="9">
    <mergeCell ref="A2:H2"/>
    <mergeCell ref="A8:A11"/>
    <mergeCell ref="B8:B11"/>
    <mergeCell ref="C8:C11"/>
    <mergeCell ref="E8:E10"/>
    <mergeCell ref="F8:F10"/>
    <mergeCell ref="G8:H8"/>
    <mergeCell ref="G9:G10"/>
    <mergeCell ref="H9:H10"/>
  </mergeCells>
  <pageMargins left="0.31496062992125984" right="0.31496062992125984" top="0.74803149606299213" bottom="0.74803149606299213" header="0.31496062992125984" footer="0.31496062992125984"/>
  <pageSetup paperSize="9" scale="92" fitToHeight="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2AECA-9420-4442-9A53-4CC821496FAF}">
  <sheetPr>
    <tabColor theme="0"/>
    <pageSetUpPr fitToPage="1"/>
  </sheetPr>
  <dimension ref="A2:H33"/>
  <sheetViews>
    <sheetView workbookViewId="0">
      <selection activeCell="H24" sqref="H24"/>
    </sheetView>
  </sheetViews>
  <sheetFormatPr defaultRowHeight="15" x14ac:dyDescent="0.25"/>
  <cols>
    <col min="1" max="1" width="3.28515625" style="1" bestFit="1" customWidth="1"/>
    <col min="2" max="2" width="23.28515625" style="1" bestFit="1" customWidth="1"/>
    <col min="3" max="3" width="19.7109375" style="1" hidden="1" customWidth="1"/>
    <col min="4" max="4" width="24.5703125" style="1" hidden="1" customWidth="1"/>
    <col min="5" max="5" width="19.140625" style="1" customWidth="1"/>
    <col min="6" max="6" width="19.42578125" style="1" customWidth="1"/>
    <col min="7" max="7" width="20.42578125" style="1" customWidth="1"/>
    <col min="8" max="8" width="19.7109375" style="1" customWidth="1"/>
    <col min="9" max="16384" width="9.140625" style="1"/>
  </cols>
  <sheetData>
    <row r="2" spans="1:8" ht="43.5" customHeight="1" x14ac:dyDescent="0.3">
      <c r="A2" s="13" t="s">
        <v>42</v>
      </c>
      <c r="B2" s="13"/>
      <c r="C2" s="13"/>
      <c r="D2" s="13"/>
      <c r="E2" s="13"/>
      <c r="F2" s="13"/>
      <c r="G2" s="13"/>
      <c r="H2" s="13"/>
    </row>
    <row r="5" spans="1:8" hidden="1" x14ac:dyDescent="0.25">
      <c r="C5" s="1">
        <v>36368</v>
      </c>
      <c r="D5" s="1">
        <v>27408.113990000002</v>
      </c>
      <c r="E5" s="1">
        <f>F7/36368</f>
        <v>145867.00670919489</v>
      </c>
      <c r="F5" s="1">
        <f>(E7+E6)/36368</f>
        <v>145867.00670919489</v>
      </c>
    </row>
    <row r="6" spans="1:8" hidden="1" x14ac:dyDescent="0.25">
      <c r="D6" s="1">
        <f>E7/F7*100</f>
        <v>14.440069676828251</v>
      </c>
      <c r="E6" s="2">
        <v>4538861300</v>
      </c>
      <c r="F6" s="1">
        <f>F7/C12</f>
        <v>111890.15230228408</v>
      </c>
    </row>
    <row r="7" spans="1:8" hidden="1" x14ac:dyDescent="0.25">
      <c r="C7" s="12" t="e">
        <f>C12-#REF!</f>
        <v>#REF!</v>
      </c>
      <c r="E7" s="2">
        <v>766030000</v>
      </c>
      <c r="F7" s="2">
        <f>E6+E7</f>
        <v>5304891300</v>
      </c>
      <c r="G7" s="2"/>
    </row>
    <row r="8" spans="1:8" ht="23.25" customHeight="1" x14ac:dyDescent="0.25">
      <c r="A8" s="14" t="s">
        <v>0</v>
      </c>
      <c r="B8" s="17" t="s">
        <v>1</v>
      </c>
      <c r="C8" s="17" t="s">
        <v>30</v>
      </c>
      <c r="D8" s="3"/>
      <c r="E8" s="18" t="s">
        <v>31</v>
      </c>
      <c r="F8" s="18" t="s">
        <v>34</v>
      </c>
      <c r="G8" s="21" t="s">
        <v>35</v>
      </c>
      <c r="H8" s="22"/>
    </row>
    <row r="9" spans="1:8" x14ac:dyDescent="0.25">
      <c r="A9" s="15"/>
      <c r="B9" s="17"/>
      <c r="C9" s="17"/>
      <c r="D9" s="3"/>
      <c r="E9" s="19"/>
      <c r="F9" s="19"/>
      <c r="G9" s="18" t="s">
        <v>36</v>
      </c>
      <c r="H9" s="18" t="s">
        <v>37</v>
      </c>
    </row>
    <row r="10" spans="1:8" ht="45" customHeight="1" x14ac:dyDescent="0.25">
      <c r="A10" s="15"/>
      <c r="B10" s="17"/>
      <c r="C10" s="17"/>
      <c r="D10" s="3"/>
      <c r="E10" s="19"/>
      <c r="F10" s="20"/>
      <c r="G10" s="20"/>
      <c r="H10" s="20"/>
    </row>
    <row r="11" spans="1:8" x14ac:dyDescent="0.25">
      <c r="A11" s="16"/>
      <c r="B11" s="17"/>
      <c r="C11" s="17"/>
      <c r="D11" s="3"/>
      <c r="E11" s="11" t="s">
        <v>32</v>
      </c>
      <c r="F11" s="11" t="s">
        <v>33</v>
      </c>
      <c r="G11" s="11" t="s">
        <v>33</v>
      </c>
      <c r="H11" s="11" t="s">
        <v>33</v>
      </c>
    </row>
    <row r="12" spans="1:8" x14ac:dyDescent="0.25">
      <c r="A12" s="4"/>
      <c r="B12" s="5" t="s">
        <v>2</v>
      </c>
      <c r="C12" s="6">
        <f t="shared" ref="C12:H12" si="0">SUM(C13:C33)</f>
        <v>47411.601386225906</v>
      </c>
      <c r="D12" s="7">
        <f t="shared" si="0"/>
        <v>1724265119.2200005</v>
      </c>
      <c r="E12" s="7">
        <f t="shared" si="0"/>
        <v>47411.601386225906</v>
      </c>
      <c r="F12" s="7">
        <f t="shared" si="0"/>
        <v>1724265119.2200005</v>
      </c>
      <c r="G12" s="7">
        <f t="shared" si="0"/>
        <v>1439858332.05</v>
      </c>
      <c r="H12" s="7">
        <f t="shared" si="0"/>
        <v>284406787.17000002</v>
      </c>
    </row>
    <row r="13" spans="1:8" ht="15.75" x14ac:dyDescent="0.25">
      <c r="A13" s="8">
        <v>1</v>
      </c>
      <c r="B13" s="9" t="s">
        <v>3</v>
      </c>
      <c r="C13" s="10">
        <f>44963.35-'2020 год'!E13-3825.7-'2021'!E13-'2022'!E13-'2023'!E13</f>
        <v>4473.2145506887064</v>
      </c>
      <c r="D13" s="7">
        <f>ROUND((C13*36368),2)</f>
        <v>162681866.78</v>
      </c>
      <c r="E13" s="7">
        <f>C13</f>
        <v>4473.2145506887064</v>
      </c>
      <c r="F13" s="7">
        <f>G13+H13</f>
        <v>162681866.78</v>
      </c>
      <c r="G13" s="7">
        <f>ROUND((D13*0.84),2)</f>
        <v>136652768.09999999</v>
      </c>
      <c r="H13" s="7">
        <f>D13-G13</f>
        <v>26029098.680000007</v>
      </c>
    </row>
    <row r="14" spans="1:8" ht="15.75" x14ac:dyDescent="0.25">
      <c r="A14" s="8">
        <v>2</v>
      </c>
      <c r="B14" s="9" t="s">
        <v>4</v>
      </c>
      <c r="C14" s="10">
        <f>3448.6-'2020 год'!E14-821.2-'2021'!E14-'2022'!E14-'2023'!E14</f>
        <v>278.63814022038537</v>
      </c>
      <c r="D14" s="7">
        <f>ROUND((C14*36368),2)</f>
        <v>10133511.880000001</v>
      </c>
      <c r="E14" s="7">
        <f t="shared" ref="E14:E33" si="1">C14</f>
        <v>278.63814022038537</v>
      </c>
      <c r="F14" s="7">
        <f t="shared" ref="F14:F33" si="2">G14+H14</f>
        <v>10133511.880000001</v>
      </c>
      <c r="G14" s="7">
        <f t="shared" ref="G14:G33" si="3">ROUND((D14*0.84),2)</f>
        <v>8512149.9800000004</v>
      </c>
      <c r="H14" s="7">
        <f t="shared" ref="H14:H33" si="4">D14-G14</f>
        <v>1621361.9000000004</v>
      </c>
    </row>
    <row r="15" spans="1:8" ht="15.75" x14ac:dyDescent="0.25">
      <c r="A15" s="8">
        <v>3</v>
      </c>
      <c r="B15" s="9" t="s">
        <v>5</v>
      </c>
      <c r="C15" s="10">
        <f>13516.61-'2020 год'!E15-1158-'2021'!E15-'2022'!E15-'2023'!E15</f>
        <v>1343.740939669422</v>
      </c>
      <c r="D15" s="7">
        <f>ROUND((C15*36368),2)</f>
        <v>48869170.490000002</v>
      </c>
      <c r="E15" s="7">
        <f t="shared" si="1"/>
        <v>1343.740939669422</v>
      </c>
      <c r="F15" s="7">
        <f t="shared" si="2"/>
        <v>48869170.490000002</v>
      </c>
      <c r="G15" s="7">
        <f t="shared" si="3"/>
        <v>41050103.210000001</v>
      </c>
      <c r="H15" s="7">
        <f t="shared" si="4"/>
        <v>7819067.2800000012</v>
      </c>
    </row>
    <row r="16" spans="1:8" ht="15.75" x14ac:dyDescent="0.25">
      <c r="A16" s="8">
        <v>4</v>
      </c>
      <c r="B16" s="9" t="s">
        <v>6</v>
      </c>
      <c r="C16" s="10">
        <f>37934.9-'2020 год'!E16-3445.4-'2021'!E16-'2022'!E16-'2023'!E16</f>
        <v>3747.3977523415997</v>
      </c>
      <c r="D16" s="7">
        <f>ROUND((C16*36368),2)</f>
        <v>136285361.46000001</v>
      </c>
      <c r="E16" s="7">
        <f t="shared" si="1"/>
        <v>3747.3977523415997</v>
      </c>
      <c r="F16" s="7">
        <f t="shared" si="2"/>
        <v>136285361.46000001</v>
      </c>
      <c r="G16" s="7">
        <f t="shared" si="3"/>
        <v>114479703.63</v>
      </c>
      <c r="H16" s="7">
        <f t="shared" si="4"/>
        <v>21805657.830000013</v>
      </c>
    </row>
    <row r="17" spans="1:8" ht="15.75" x14ac:dyDescent="0.25">
      <c r="A17" s="8">
        <v>5</v>
      </c>
      <c r="B17" s="9" t="s">
        <v>7</v>
      </c>
      <c r="C17" s="10">
        <f>31886.65-'2020 год'!E17-7183.6-'2021'!E17-'2022'!E17-'2023'!E17</f>
        <v>2626.3571774104676</v>
      </c>
      <c r="D17" s="7">
        <f>ROUND((C17*36368),2)</f>
        <v>95515357.829999998</v>
      </c>
      <c r="E17" s="7">
        <f t="shared" si="1"/>
        <v>2626.3571774104676</v>
      </c>
      <c r="F17" s="7">
        <f t="shared" si="2"/>
        <v>95515357.829999998</v>
      </c>
      <c r="G17" s="7">
        <f t="shared" si="3"/>
        <v>80232900.579999998</v>
      </c>
      <c r="H17" s="7">
        <f t="shared" si="4"/>
        <v>15282457.25</v>
      </c>
    </row>
    <row r="18" spans="1:8" ht="15.75" x14ac:dyDescent="0.25">
      <c r="A18" s="8">
        <v>7</v>
      </c>
      <c r="B18" s="9" t="s">
        <v>9</v>
      </c>
      <c r="C18" s="10">
        <f>68460.7-'2020 год'!E19-5849.7-'2021'!E19-'2022'!E19-'2023'!E18</f>
        <v>6807.8470190082662</v>
      </c>
      <c r="D18" s="7">
        <f>ROUND((C18*36368),2)</f>
        <v>247587780.38999999</v>
      </c>
      <c r="E18" s="7">
        <f t="shared" si="1"/>
        <v>6807.8470190082662</v>
      </c>
      <c r="F18" s="7">
        <f t="shared" si="2"/>
        <v>247587780.38999999</v>
      </c>
      <c r="G18" s="7">
        <f t="shared" si="3"/>
        <v>207973735.53</v>
      </c>
      <c r="H18" s="7">
        <f t="shared" si="4"/>
        <v>39614044.859999985</v>
      </c>
    </row>
    <row r="19" spans="1:8" ht="15.75" x14ac:dyDescent="0.25">
      <c r="A19" s="8">
        <v>8</v>
      </c>
      <c r="B19" s="9" t="s">
        <v>11</v>
      </c>
      <c r="C19" s="10">
        <f>4590.6-'2020 год'!E21-406.4-'2021'!E21-'2022'!E20-'2023'!E19</f>
        <v>454.76893443526251</v>
      </c>
      <c r="D19" s="7">
        <f>ROUND((C19*36368),2)</f>
        <v>16539036.609999999</v>
      </c>
      <c r="E19" s="7">
        <f t="shared" si="1"/>
        <v>454.76893443526251</v>
      </c>
      <c r="F19" s="7">
        <f t="shared" si="2"/>
        <v>16539036.609999999</v>
      </c>
      <c r="G19" s="7">
        <f t="shared" si="3"/>
        <v>13892790.75</v>
      </c>
      <c r="H19" s="7">
        <f t="shared" si="4"/>
        <v>2646245.8599999994</v>
      </c>
    </row>
    <row r="20" spans="1:8" ht="15.75" x14ac:dyDescent="0.25">
      <c r="A20" s="8">
        <v>9</v>
      </c>
      <c r="B20" s="9" t="s">
        <v>12</v>
      </c>
      <c r="C20" s="10">
        <f>87542.01-'2020 год'!E22-9529.6-'2021'!E22-'2022'!E21-'2023'!E20</f>
        <v>8523.3453212121058</v>
      </c>
      <c r="D20" s="7">
        <f>ROUND((C20*36368),2)</f>
        <v>309977022.63999999</v>
      </c>
      <c r="E20" s="7">
        <f t="shared" si="1"/>
        <v>8523.3453212121058</v>
      </c>
      <c r="F20" s="7">
        <f t="shared" si="2"/>
        <v>309977022.63999999</v>
      </c>
      <c r="G20" s="7">
        <f>ROUND((D20*0.8125),2)</f>
        <v>251856330.90000001</v>
      </c>
      <c r="H20" s="7">
        <f t="shared" si="4"/>
        <v>58120691.73999998</v>
      </c>
    </row>
    <row r="21" spans="1:8" ht="15.75" x14ac:dyDescent="0.25">
      <c r="A21" s="8">
        <v>10</v>
      </c>
      <c r="B21" s="9" t="s">
        <v>13</v>
      </c>
      <c r="C21" s="10">
        <f>14317.3-'2020 год'!E23-1224.3-'2021'!E23-'2022'!E22-'2023'!E21</f>
        <v>1423.6212707988971</v>
      </c>
      <c r="D21" s="7">
        <f>ROUND((C21*36368),2)</f>
        <v>51774258.380000003</v>
      </c>
      <c r="E21" s="7">
        <f t="shared" si="1"/>
        <v>1423.6212707988971</v>
      </c>
      <c r="F21" s="7">
        <f t="shared" si="2"/>
        <v>51774258.380000003</v>
      </c>
      <c r="G21" s="7">
        <f t="shared" si="3"/>
        <v>43490377.039999999</v>
      </c>
      <c r="H21" s="7">
        <f t="shared" si="4"/>
        <v>8283881.3400000036</v>
      </c>
    </row>
    <row r="22" spans="1:8" ht="15.75" x14ac:dyDescent="0.25">
      <c r="A22" s="8">
        <v>11</v>
      </c>
      <c r="B22" s="9" t="s">
        <v>14</v>
      </c>
      <c r="C22" s="10">
        <f>8260.2-'2020 год'!E24-769.9-'2021'!E24-'2022'!E23-'2023'!E22</f>
        <v>813.58092754820973</v>
      </c>
      <c r="D22" s="7">
        <f>ROUND((C22*36368),2)</f>
        <v>29588311.170000002</v>
      </c>
      <c r="E22" s="7">
        <f t="shared" si="1"/>
        <v>813.58092754820973</v>
      </c>
      <c r="F22" s="7">
        <f t="shared" si="2"/>
        <v>29588311.170000002</v>
      </c>
      <c r="G22" s="7">
        <f t="shared" si="3"/>
        <v>24854181.379999999</v>
      </c>
      <c r="H22" s="7">
        <f t="shared" si="4"/>
        <v>4734129.7900000028</v>
      </c>
    </row>
    <row r="23" spans="1:8" ht="15.75" x14ac:dyDescent="0.25">
      <c r="A23" s="8">
        <v>12</v>
      </c>
      <c r="B23" s="9" t="s">
        <v>15</v>
      </c>
      <c r="C23" s="10">
        <f>25086.13-'2020 год'!E25-2366.1-'2021'!E25-'2022'!E24-'2023'!E23</f>
        <v>2467.425938567495</v>
      </c>
      <c r="D23" s="7">
        <f>ROUND((C23*36368),2)</f>
        <v>89735346.530000001</v>
      </c>
      <c r="E23" s="7">
        <f t="shared" si="1"/>
        <v>2467.425938567495</v>
      </c>
      <c r="F23" s="7">
        <f t="shared" si="2"/>
        <v>89735346.530000001</v>
      </c>
      <c r="G23" s="7">
        <f t="shared" si="3"/>
        <v>75377691.090000004</v>
      </c>
      <c r="H23" s="7">
        <f t="shared" si="4"/>
        <v>14357655.439999998</v>
      </c>
    </row>
    <row r="24" spans="1:8" ht="15.75" x14ac:dyDescent="0.25">
      <c r="A24" s="8">
        <v>13</v>
      </c>
      <c r="B24" s="9" t="s">
        <v>16</v>
      </c>
      <c r="C24" s="10">
        <f>3800.1-'2020 год'!E26-396.6-'2021'!E26-'2022'!E25-'2023'!E24</f>
        <v>369.10883085399473</v>
      </c>
      <c r="D24" s="7">
        <f>ROUND((C24*36368),2)</f>
        <v>13423749.960000001</v>
      </c>
      <c r="E24" s="7">
        <f t="shared" si="1"/>
        <v>369.10883085399473</v>
      </c>
      <c r="F24" s="7">
        <f t="shared" si="2"/>
        <v>13423749.960000001</v>
      </c>
      <c r="G24" s="7">
        <f t="shared" si="3"/>
        <v>11275949.970000001</v>
      </c>
      <c r="H24" s="7">
        <f t="shared" si="4"/>
        <v>2147799.9900000002</v>
      </c>
    </row>
    <row r="25" spans="1:8" ht="15.75" x14ac:dyDescent="0.25">
      <c r="A25" s="8">
        <v>14</v>
      </c>
      <c r="B25" s="9" t="s">
        <v>17</v>
      </c>
      <c r="C25" s="10">
        <f>97717.8-'2020 год'!E27-8114.9-'2021'!E27-'2022'!E26-'2023'!E25</f>
        <v>9896.5830316804568</v>
      </c>
      <c r="D25" s="7">
        <f>ROUND((C25*36368),2)</f>
        <v>359918931.69999999</v>
      </c>
      <c r="E25" s="7">
        <f t="shared" si="1"/>
        <v>9896.5830316804568</v>
      </c>
      <c r="F25" s="7">
        <f t="shared" si="2"/>
        <v>359918931.69999999</v>
      </c>
      <c r="G25" s="7">
        <f t="shared" si="3"/>
        <v>302331902.63</v>
      </c>
      <c r="H25" s="7">
        <f t="shared" si="4"/>
        <v>57587029.069999993</v>
      </c>
    </row>
    <row r="26" spans="1:8" ht="15.75" x14ac:dyDescent="0.25">
      <c r="A26" s="8">
        <v>15</v>
      </c>
      <c r="B26" s="9" t="s">
        <v>18</v>
      </c>
      <c r="C26" s="10">
        <f>4796.35-'2020 год'!E28-637.11-'2021'!E28-'2022'!E27-'2023'!E26</f>
        <v>449.20309696969753</v>
      </c>
      <c r="D26" s="7">
        <f>ROUND((C26*36368),2)</f>
        <v>16336618.23</v>
      </c>
      <c r="E26" s="7">
        <f t="shared" si="1"/>
        <v>449.20309696969753</v>
      </c>
      <c r="F26" s="7">
        <f t="shared" si="2"/>
        <v>16336618.23</v>
      </c>
      <c r="G26" s="7">
        <f t="shared" si="3"/>
        <v>13722759.310000001</v>
      </c>
      <c r="H26" s="7">
        <f t="shared" si="4"/>
        <v>2613858.92</v>
      </c>
    </row>
    <row r="27" spans="1:8" ht="15.75" x14ac:dyDescent="0.25">
      <c r="A27" s="8">
        <v>16</v>
      </c>
      <c r="B27" s="9" t="s">
        <v>19</v>
      </c>
      <c r="C27" s="10">
        <f>2246.67-'2020 год'!E29-232.77-'2021'!E29-'2022'!E28-'2023'!E27</f>
        <v>218.43031432506905</v>
      </c>
      <c r="D27" s="7">
        <f>ROUND((C27*36368),2)</f>
        <v>7943873.6699999999</v>
      </c>
      <c r="E27" s="7">
        <f t="shared" si="1"/>
        <v>218.43031432506905</v>
      </c>
      <c r="F27" s="7">
        <f t="shared" si="2"/>
        <v>7943873.6699999999</v>
      </c>
      <c r="G27" s="7">
        <f t="shared" si="3"/>
        <v>6672853.8799999999</v>
      </c>
      <c r="H27" s="7">
        <f t="shared" si="4"/>
        <v>1271019.79</v>
      </c>
    </row>
    <row r="28" spans="1:8" ht="15.75" x14ac:dyDescent="0.25">
      <c r="A28" s="8">
        <v>17</v>
      </c>
      <c r="B28" s="9" t="s">
        <v>21</v>
      </c>
      <c r="C28" s="10">
        <f>4396.2-'2020 год'!E31-564.5-'2021'!E30-'2022'!E29-'2023'!E28</f>
        <v>414.1029517906336</v>
      </c>
      <c r="D28" s="7">
        <f>ROUND((C28*36368),2)</f>
        <v>15060096.15</v>
      </c>
      <c r="E28" s="7">
        <f t="shared" si="1"/>
        <v>414.1029517906336</v>
      </c>
      <c r="F28" s="7">
        <f t="shared" si="2"/>
        <v>15060096.15</v>
      </c>
      <c r="G28" s="7">
        <f t="shared" si="3"/>
        <v>12650480.77</v>
      </c>
      <c r="H28" s="7">
        <f t="shared" si="4"/>
        <v>2409615.3800000008</v>
      </c>
    </row>
    <row r="29" spans="1:8" ht="15.75" x14ac:dyDescent="0.25">
      <c r="A29" s="8">
        <v>18</v>
      </c>
      <c r="B29" s="9" t="s">
        <v>22</v>
      </c>
      <c r="C29" s="10">
        <f>2015.5-'2020 год'!E32-258.6-'2021'!E31-'2022'!E30-'2023'!E29</f>
        <v>189.87613801652901</v>
      </c>
      <c r="D29" s="7">
        <f>ROUND((C29*36368),2)</f>
        <v>6905415.3899999997</v>
      </c>
      <c r="E29" s="7">
        <f t="shared" si="1"/>
        <v>189.87613801652901</v>
      </c>
      <c r="F29" s="7">
        <f t="shared" si="2"/>
        <v>6905415.3899999997</v>
      </c>
      <c r="G29" s="7">
        <f t="shared" si="3"/>
        <v>5800548.9299999997</v>
      </c>
      <c r="H29" s="7">
        <f t="shared" si="4"/>
        <v>1104866.46</v>
      </c>
    </row>
    <row r="30" spans="1:8" ht="15.75" x14ac:dyDescent="0.25">
      <c r="A30" s="8">
        <v>19</v>
      </c>
      <c r="B30" s="9" t="s">
        <v>23</v>
      </c>
      <c r="C30" s="10">
        <f>2717.16-'2020 год'!E33-192.9-'2021'!E32-'2022'!E31-'2023'!E30</f>
        <v>274.99443774104657</v>
      </c>
      <c r="D30" s="7">
        <f>ROUND((C30*36368),2)</f>
        <v>10000997.710000001</v>
      </c>
      <c r="E30" s="7">
        <f t="shared" si="1"/>
        <v>274.99443774104657</v>
      </c>
      <c r="F30" s="7">
        <f t="shared" si="2"/>
        <v>10000997.710000001</v>
      </c>
      <c r="G30" s="7">
        <f t="shared" si="3"/>
        <v>8400838.0800000001</v>
      </c>
      <c r="H30" s="7">
        <f t="shared" si="4"/>
        <v>1600159.6300000008</v>
      </c>
    </row>
    <row r="31" spans="1:8" ht="15.75" x14ac:dyDescent="0.25">
      <c r="A31" s="8">
        <v>20</v>
      </c>
      <c r="B31" s="9" t="s">
        <v>24</v>
      </c>
      <c r="C31" s="10">
        <f>15257.4-'2020 год'!E34-1277.1-'2021'!E33-'2022'!E32-'2023'!E31</f>
        <v>1520.4679173553714</v>
      </c>
      <c r="D31" s="7">
        <f>ROUND((C31*36368),2)</f>
        <v>55296377.219999999</v>
      </c>
      <c r="E31" s="7">
        <f t="shared" si="1"/>
        <v>1520.4679173553714</v>
      </c>
      <c r="F31" s="7">
        <f t="shared" si="2"/>
        <v>55296377.219999999</v>
      </c>
      <c r="G31" s="7">
        <f t="shared" si="3"/>
        <v>46448956.859999999</v>
      </c>
      <c r="H31" s="7">
        <f t="shared" si="4"/>
        <v>8847420.3599999994</v>
      </c>
    </row>
    <row r="32" spans="1:8" ht="15.75" x14ac:dyDescent="0.25">
      <c r="A32" s="8">
        <v>21</v>
      </c>
      <c r="B32" s="9" t="s">
        <v>25</v>
      </c>
      <c r="C32" s="10">
        <f>8229.99-'2020 год'!E35-695.1-'2021'!E34-'2022'!E33-'2023'!E32</f>
        <v>819.39566198347075</v>
      </c>
      <c r="D32" s="7">
        <f>ROUND((C32*36368),2)</f>
        <v>29799781.440000001</v>
      </c>
      <c r="E32" s="7">
        <f t="shared" si="1"/>
        <v>819.39566198347075</v>
      </c>
      <c r="F32" s="7">
        <f t="shared" si="2"/>
        <v>29799781.440000001</v>
      </c>
      <c r="G32" s="7">
        <f t="shared" si="3"/>
        <v>25031816.41</v>
      </c>
      <c r="H32" s="7">
        <f t="shared" si="4"/>
        <v>4767965.0300000012</v>
      </c>
    </row>
    <row r="33" spans="1:8" ht="15.75" x14ac:dyDescent="0.25">
      <c r="A33" s="8">
        <v>22</v>
      </c>
      <c r="B33" s="9" t="s">
        <v>28</v>
      </c>
      <c r="C33" s="10">
        <f>3018.44-'2020 год'!E38-263.3-'2021'!E36-'2022'!E34-'2023'!E33</f>
        <v>299.50103360881519</v>
      </c>
      <c r="D33" s="7">
        <f>ROUND((C33*36368),2)</f>
        <v>10892253.59</v>
      </c>
      <c r="E33" s="7">
        <f t="shared" si="1"/>
        <v>299.50103360881519</v>
      </c>
      <c r="F33" s="7">
        <f t="shared" si="2"/>
        <v>10892253.59</v>
      </c>
      <c r="G33" s="7">
        <f t="shared" si="3"/>
        <v>9149493.0199999996</v>
      </c>
      <c r="H33" s="7">
        <f t="shared" si="4"/>
        <v>1742760.5700000003</v>
      </c>
    </row>
  </sheetData>
  <sheetProtection algorithmName="SHA-512" hashValue="VBQ0R1s8PgADm6mg1AozOlY3qCtSATW9ZRFrsRu3jl7pg1Hn+rsey1ZUYrJ4Ydb66eMgguo813LEYyJH+HTgyg==" saltValue="tfaYqV6Q3C2LyYdxPxOoXA==" spinCount="100000" sheet="1" formatCells="0" formatColumns="0" formatRows="0" insertColumns="0" insertRows="0" insertHyperlinks="0" deleteColumns="0" deleteRows="0" sort="0" autoFilter="0" pivotTables="0"/>
  <mergeCells count="9">
    <mergeCell ref="A2:H2"/>
    <mergeCell ref="A8:A11"/>
    <mergeCell ref="B8:B11"/>
    <mergeCell ref="C8:C11"/>
    <mergeCell ref="E8:E10"/>
    <mergeCell ref="F8:F10"/>
    <mergeCell ref="G8:H8"/>
    <mergeCell ref="G9:G10"/>
    <mergeCell ref="H9:H10"/>
  </mergeCells>
  <pageMargins left="0.31496062992125984" right="0.31496062992125984" top="0.74803149606299213" bottom="0.74803149606299213" header="0.31496062992125984" footer="0.31496062992125984"/>
  <pageSetup paperSize="9" scale="92" fitToHeight="1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676E3-059C-4013-971F-136F2DBAEC7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2020 год</vt:lpstr>
      <vt:lpstr>2021</vt:lpstr>
      <vt:lpstr>2022</vt:lpstr>
      <vt:lpstr>2023</vt:lpstr>
      <vt:lpstr>2024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Анферова Анастасия Анатольевна</dc:creator>
  <cp:lastModifiedBy>Анферова Анастасия Анатольевна</cp:lastModifiedBy>
  <cp:lastPrinted>2019-08-12T06:02:39Z</cp:lastPrinted>
  <dcterms:created xsi:type="dcterms:W3CDTF">2019-08-12T04:32:00Z</dcterms:created>
  <dcterms:modified xsi:type="dcterms:W3CDTF">2019-08-13T02:39:29Z</dcterms:modified>
</cp:coreProperties>
</file>